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ilot Test Sites\"/>
    </mc:Choice>
  </mc:AlternateContent>
  <xr:revisionPtr revIDLastSave="0" documentId="8_{64DDB41C-1688-4530-B33A-78ACECE0ED97}" xr6:coauthVersionLast="47" xr6:coauthVersionMax="47" xr10:uidLastSave="{00000000-0000-0000-0000-000000000000}"/>
  <bookViews>
    <workbookView xWindow="-120" yWindow="-120" windowWidth="29040" windowHeight="15840" xr2:uid="{09629812-D903-4400-B88D-58B642532F5A}"/>
  </bookViews>
  <sheets>
    <sheet name="KEY" sheetId="9" r:id="rId1"/>
    <sheet name="JP LP" sheetId="1" r:id="rId2"/>
    <sheet name="RP LP" sheetId="2" r:id="rId3"/>
    <sheet name="Oak LP" sheetId="3" r:id="rId4"/>
    <sheet name="NHW LP" sheetId="4" r:id="rId5"/>
    <sheet name="JP UP" sheetId="5" r:id="rId6"/>
    <sheet name="RP UP" sheetId="6" r:id="rId7"/>
    <sheet name="Aspen UP" sheetId="7" r:id="rId8"/>
    <sheet name="NHW UP" sheetId="8" r:id="rId9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2" i="9" l="1"/>
  <c r="J20" i="9"/>
  <c r="J18" i="9"/>
  <c r="J16" i="9"/>
  <c r="J14" i="9"/>
  <c r="J11" i="9"/>
  <c r="J8" i="9"/>
  <c r="J5" i="9"/>
  <c r="J23" i="9"/>
  <c r="I23" i="9"/>
  <c r="H23" i="9"/>
  <c r="I22" i="9"/>
  <c r="I20" i="9"/>
  <c r="I18" i="9"/>
  <c r="I16" i="9"/>
  <c r="I14" i="9"/>
  <c r="I12" i="9"/>
  <c r="I9" i="9"/>
  <c r="I6" i="9"/>
  <c r="H7" i="9"/>
  <c r="H10" i="9"/>
  <c r="H13" i="9"/>
  <c r="H15" i="9"/>
  <c r="H17" i="9"/>
  <c r="H19" i="9"/>
  <c r="H21" i="9"/>
  <c r="H4" i="9"/>
  <c r="G14" i="6" l="1"/>
  <c r="I5" i="6"/>
  <c r="I9" i="6" l="1"/>
  <c r="F11" i="8"/>
  <c r="E11" i="8"/>
  <c r="F9" i="5"/>
  <c r="F14" i="3"/>
  <c r="E14" i="3"/>
  <c r="F9" i="7"/>
  <c r="G10" i="1"/>
  <c r="F10" i="1"/>
  <c r="E10" i="1"/>
  <c r="E9" i="5"/>
  <c r="E9" i="7"/>
  <c r="G13" i="7"/>
  <c r="F6" i="6" l="1"/>
  <c r="F7" i="6"/>
  <c r="F8" i="6"/>
  <c r="G13" i="5" l="1"/>
  <c r="F3" i="5"/>
  <c r="I8" i="5"/>
  <c r="I8" i="7" l="1"/>
  <c r="I10" i="8"/>
  <c r="I9" i="8"/>
  <c r="I8" i="8"/>
  <c r="I7" i="8"/>
  <c r="G15" i="8"/>
  <c r="E15" i="8" l="1"/>
  <c r="I15" i="8" s="1"/>
  <c r="F15" i="8"/>
  <c r="G14" i="8"/>
  <c r="F14" i="8"/>
  <c r="E14" i="8"/>
  <c r="E10" i="8"/>
  <c r="F9" i="8"/>
  <c r="F7" i="8"/>
  <c r="E6" i="8"/>
  <c r="F5" i="8"/>
  <c r="F4" i="8"/>
  <c r="F3" i="8"/>
  <c r="E13" i="7"/>
  <c r="I13" i="7" s="1"/>
  <c r="F13" i="7"/>
  <c r="G12" i="7"/>
  <c r="F12" i="7"/>
  <c r="E12" i="7"/>
  <c r="E8" i="7"/>
  <c r="F7" i="7"/>
  <c r="F6" i="7"/>
  <c r="F5" i="7"/>
  <c r="F4" i="7"/>
  <c r="F3" i="7"/>
  <c r="E9" i="6"/>
  <c r="E10" i="6" s="1"/>
  <c r="E14" i="6"/>
  <c r="I14" i="6" s="1"/>
  <c r="F14" i="6"/>
  <c r="G13" i="6"/>
  <c r="F13" i="6"/>
  <c r="E13" i="6"/>
  <c r="F5" i="6"/>
  <c r="F9" i="6" s="1"/>
  <c r="F10" i="6" s="1"/>
  <c r="E4" i="6"/>
  <c r="F3" i="6"/>
  <c r="F4" i="6" s="1"/>
  <c r="E13" i="5"/>
  <c r="I13" i="5" s="1"/>
  <c r="F13" i="5"/>
  <c r="G12" i="5"/>
  <c r="F12" i="5"/>
  <c r="E12" i="5"/>
  <c r="E8" i="5"/>
  <c r="F7" i="5"/>
  <c r="F6" i="5"/>
  <c r="F4" i="5"/>
  <c r="F8" i="7" l="1"/>
  <c r="F16" i="8"/>
  <c r="F6" i="8"/>
  <c r="H15" i="8"/>
  <c r="H14" i="8"/>
  <c r="J15" i="8"/>
  <c r="L15" i="8"/>
  <c r="K15" i="8"/>
  <c r="F8" i="8"/>
  <c r="F10" i="8" s="1"/>
  <c r="H12" i="7"/>
  <c r="F14" i="7"/>
  <c r="K13" i="7"/>
  <c r="J13" i="7"/>
  <c r="L13" i="7"/>
  <c r="H13" i="7"/>
  <c r="H13" i="6"/>
  <c r="F15" i="6"/>
  <c r="L14" i="6"/>
  <c r="K14" i="6"/>
  <c r="J14" i="6"/>
  <c r="H14" i="6"/>
  <c r="H12" i="5"/>
  <c r="F5" i="5"/>
  <c r="F8" i="5" s="1"/>
  <c r="F14" i="5"/>
  <c r="H13" i="5"/>
  <c r="L13" i="5"/>
  <c r="K13" i="5"/>
  <c r="J13" i="5"/>
  <c r="F20" i="3"/>
  <c r="G17" i="4"/>
  <c r="I11" i="4"/>
  <c r="F11" i="4" s="1"/>
  <c r="I10" i="4"/>
  <c r="F10" i="4" s="1"/>
  <c r="I9" i="4"/>
  <c r="F9" i="4" s="1"/>
  <c r="I8" i="4"/>
  <c r="F17" i="4"/>
  <c r="F18" i="4" s="1"/>
  <c r="G16" i="4"/>
  <c r="F16" i="4"/>
  <c r="E16" i="4"/>
  <c r="E12" i="4"/>
  <c r="E7" i="4"/>
  <c r="E13" i="4" s="1"/>
  <c r="F6" i="4"/>
  <c r="F5" i="4"/>
  <c r="F4" i="4"/>
  <c r="F3" i="4"/>
  <c r="F9" i="1"/>
  <c r="E9" i="1"/>
  <c r="J6" i="1"/>
  <c r="J9" i="1" s="1"/>
  <c r="J12" i="3"/>
  <c r="J10" i="3"/>
  <c r="G10" i="3" s="1"/>
  <c r="J9" i="3"/>
  <c r="J13" i="3"/>
  <c r="G12" i="3"/>
  <c r="G9" i="3"/>
  <c r="J8" i="3"/>
  <c r="J7" i="2"/>
  <c r="J5" i="2"/>
  <c r="G5" i="2" s="1"/>
  <c r="G19" i="3"/>
  <c r="G11" i="3"/>
  <c r="G4" i="3"/>
  <c r="G5" i="3"/>
  <c r="G6" i="3"/>
  <c r="F13" i="3"/>
  <c r="F7" i="3"/>
  <c r="E13" i="3"/>
  <c r="E7" i="3"/>
  <c r="F19" i="3"/>
  <c r="E19" i="3"/>
  <c r="I19" i="3" s="1"/>
  <c r="G18" i="3"/>
  <c r="F18" i="3"/>
  <c r="E18" i="3"/>
  <c r="G17" i="3"/>
  <c r="F17" i="3"/>
  <c r="E17" i="3"/>
  <c r="G3" i="3"/>
  <c r="G7" i="3" s="1"/>
  <c r="G13" i="2"/>
  <c r="E13" i="2"/>
  <c r="I13" i="2" s="1"/>
  <c r="F13" i="2"/>
  <c r="F14" i="2" s="1"/>
  <c r="G12" i="2"/>
  <c r="F12" i="2"/>
  <c r="E12" i="2"/>
  <c r="G11" i="2"/>
  <c r="F11" i="2"/>
  <c r="E11" i="2"/>
  <c r="F7" i="2"/>
  <c r="E7" i="2"/>
  <c r="G6" i="2"/>
  <c r="F4" i="2"/>
  <c r="E4" i="2"/>
  <c r="G3" i="2"/>
  <c r="G4" i="2" s="1"/>
  <c r="E4" i="1"/>
  <c r="F4" i="1"/>
  <c r="G3" i="1"/>
  <c r="G4" i="1" s="1"/>
  <c r="G6" i="1"/>
  <c r="G7" i="1"/>
  <c r="G8" i="1"/>
  <c r="G5" i="1"/>
  <c r="E14" i="1"/>
  <c r="E13" i="1"/>
  <c r="G14" i="1"/>
  <c r="H14" i="1" s="1"/>
  <c r="G13" i="1"/>
  <c r="G15" i="1"/>
  <c r="E15" i="1" s="1"/>
  <c r="I15" i="1" s="1"/>
  <c r="F14" i="1"/>
  <c r="F16" i="1" s="1"/>
  <c r="F15" i="1"/>
  <c r="F13" i="1"/>
  <c r="E8" i="2" l="1"/>
  <c r="F8" i="2"/>
  <c r="H16" i="4"/>
  <c r="I12" i="4"/>
  <c r="F7" i="4"/>
  <c r="F8" i="4"/>
  <c r="F12" i="4" s="1"/>
  <c r="H17" i="4"/>
  <c r="E17" i="4"/>
  <c r="I17" i="4" s="1"/>
  <c r="G8" i="3"/>
  <c r="G13" i="3" s="1"/>
  <c r="G14" i="3" s="1"/>
  <c r="H19" i="3"/>
  <c r="H18" i="3"/>
  <c r="H17" i="3"/>
  <c r="L19" i="3"/>
  <c r="K19" i="3"/>
  <c r="J19" i="3"/>
  <c r="H12" i="2"/>
  <c r="H11" i="2"/>
  <c r="H13" i="2"/>
  <c r="G7" i="2"/>
  <c r="G8" i="2" s="1"/>
  <c r="J13" i="2"/>
  <c r="L13" i="2"/>
  <c r="K13" i="2"/>
  <c r="J15" i="1"/>
  <c r="K15" i="1"/>
  <c r="L15" i="1"/>
  <c r="H13" i="1"/>
  <c r="G9" i="1"/>
  <c r="H15" i="1"/>
  <c r="F13" i="4" l="1"/>
  <c r="L17" i="4"/>
  <c r="J17" i="4"/>
  <c r="K17" i="4"/>
</calcChain>
</file>

<file path=xl/sharedStrings.xml><?xml version="1.0" encoding="utf-8"?>
<sst xmlns="http://schemas.openxmlformats.org/spreadsheetml/2006/main" count="553" uniqueCount="108">
  <si>
    <t>Jack Pine</t>
  </si>
  <si>
    <t>Quaking Aspen</t>
  </si>
  <si>
    <t>Black Cherry</t>
  </si>
  <si>
    <t>Saw</t>
  </si>
  <si>
    <t>Pulp</t>
  </si>
  <si>
    <t>MBF</t>
  </si>
  <si>
    <t>Cords</t>
  </si>
  <si>
    <t>Acres</t>
  </si>
  <si>
    <t>Cut BA</t>
  </si>
  <si>
    <t>Cds/acres</t>
  </si>
  <si>
    <t>St. Dev.</t>
  </si>
  <si>
    <t>Coef of Var</t>
  </si>
  <si>
    <t>Achieved Error</t>
  </si>
  <si>
    <t>Points</t>
  </si>
  <si>
    <t>Variance</t>
  </si>
  <si>
    <t>Red Pine</t>
  </si>
  <si>
    <t>MBF/Acre</t>
  </si>
  <si>
    <t>Cds/Acre</t>
  </si>
  <si>
    <t>Bl/red Oak</t>
  </si>
  <si>
    <t>8" Tsale</t>
  </si>
  <si>
    <t>10" Tsale</t>
  </si>
  <si>
    <t>10" IM</t>
  </si>
  <si>
    <t>C.I. %</t>
  </si>
  <si>
    <t>Total CI</t>
  </si>
  <si>
    <t>CI</t>
  </si>
  <si>
    <t>Total</t>
  </si>
  <si>
    <t>Tot Vol Cds</t>
  </si>
  <si>
    <t>Red Maple</t>
  </si>
  <si>
    <t>Beech</t>
  </si>
  <si>
    <t>Red Oak</t>
  </si>
  <si>
    <t>BT Aspen</t>
  </si>
  <si>
    <t>Paper Birch</t>
  </si>
  <si>
    <t>8" DIB Top</t>
  </si>
  <si>
    <t>IM 10" DOB</t>
  </si>
  <si>
    <t>10" DIB Top</t>
  </si>
  <si>
    <t>Sugar Maple</t>
  </si>
  <si>
    <t>Basswood</t>
  </si>
  <si>
    <t>TSALE:</t>
  </si>
  <si>
    <t>All trees on each point were measured.</t>
  </si>
  <si>
    <t>IM:</t>
  </si>
  <si>
    <t>White Pine</t>
  </si>
  <si>
    <t>Big Tooth Aspen</t>
  </si>
  <si>
    <t>Balsam Fir</t>
  </si>
  <si>
    <t>LP JP Test Stand 54-701-20, Scribner</t>
  </si>
  <si>
    <t>LP JP Test Stand 54-704-20, Scribner</t>
  </si>
  <si>
    <t>LP RP Test Stand 54-702-20, Scribner</t>
  </si>
  <si>
    <t>LP RP Test Stand 54-705-20, Scribner</t>
  </si>
  <si>
    <t>LP Mx Dec Test Stand 54-700-20, Scribner</t>
  </si>
  <si>
    <t>LP Mx Dec Test Stand 54-703-20, Scribner</t>
  </si>
  <si>
    <t>LP NHW Test Stand 52-001-20, Scribner</t>
  </si>
  <si>
    <t>UP JP Test Stand 33-999-20, Scribner</t>
  </si>
  <si>
    <t>UP RP Test Stand 41-999-20, Scribner</t>
  </si>
  <si>
    <t>UP Aspen Test Stand 41-997-20, Scribner</t>
  </si>
  <si>
    <t>UP NHW Test Stand 41-998-20, Scribner</t>
  </si>
  <si>
    <t>Summary of V-Bar Cruise Data from Tsale</t>
  </si>
  <si>
    <t>Species</t>
  </si>
  <si>
    <t>Avg # Sticks</t>
  </si>
  <si>
    <t>Avg # Logs</t>
  </si>
  <si>
    <t>Composite</t>
  </si>
  <si>
    <t>All trees sampled at 1 in 10.</t>
  </si>
  <si>
    <t>Q. Aspen</t>
  </si>
  <si>
    <t>B.T. Aspen</t>
  </si>
  <si>
    <t>Sawtimber was sampled at 1 in 3;  Pulpwood sampled at 1 in 10</t>
  </si>
  <si>
    <t>Pulpwood sampled at 1 in 10;</t>
  </si>
  <si>
    <t>Sawtimber and Pulpwood sampled at 1 in 10;</t>
  </si>
  <si>
    <t>Sawtimber were sampled at 1 in 5;  Pulpwood sampled at 1 in 10</t>
  </si>
  <si>
    <t>Sawtimber was sampled at 1 in 5;  Pulpwood sampled at 1 in 10;</t>
  </si>
  <si>
    <t>Balsam Poplar</t>
  </si>
  <si>
    <t>Avg # Logs (8")</t>
  </si>
  <si>
    <t>Avg # Logs (10")</t>
  </si>
  <si>
    <t>Tsale* or InventoryManager**</t>
  </si>
  <si>
    <t>Forest Type</t>
  </si>
  <si>
    <t>Upper Peninusala</t>
  </si>
  <si>
    <t>Lower Peninsula</t>
  </si>
  <si>
    <t>File</t>
  </si>
  <si>
    <t>TSale – 8” DIB</t>
  </si>
  <si>
    <t>X</t>
  </si>
  <si>
    <t>TSale – 10” DIB</t>
  </si>
  <si>
    <t>IM – 10” DOB</t>
  </si>
  <si>
    <t>Red pine</t>
  </si>
  <si>
    <t>Mixed Aspen</t>
  </si>
  <si>
    <t>N. Hardwood</t>
  </si>
  <si>
    <t>52-001-20 HW IM</t>
  </si>
  <si>
    <t>52-001-20 HW 8 Tsale</t>
  </si>
  <si>
    <t>54-701-20 jp 8 Tsale</t>
  </si>
  <si>
    <t>54-704-20 jp 10 Tsale</t>
  </si>
  <si>
    <t>54-704-20 jp IM</t>
  </si>
  <si>
    <t>54-702-20 rp 8 Tsale</t>
  </si>
  <si>
    <t>54-705-20 rp 10 Tsale</t>
  </si>
  <si>
    <t>54-702-20 rp IM</t>
  </si>
  <si>
    <t>54-700-20 aspen 8 Tsale</t>
  </si>
  <si>
    <t>54-700-20 aspen IM</t>
  </si>
  <si>
    <t>54-703-20 aspen 10 Tsale</t>
  </si>
  <si>
    <t>33-999-20 jp IM</t>
  </si>
  <si>
    <t>33-999-20 jp</t>
  </si>
  <si>
    <t>41-999-20 rp</t>
  </si>
  <si>
    <t>41-999-20 rp IM</t>
  </si>
  <si>
    <t>41-997-20 AS</t>
  </si>
  <si>
    <t>41-997-20 AS IM</t>
  </si>
  <si>
    <t>41-998-20 NHW</t>
  </si>
  <si>
    <t>41-998-20 HW IM</t>
  </si>
  <si>
    <t>**InventoryManager (IM): New method</t>
  </si>
  <si>
    <t>*Tsale: Old method</t>
  </si>
  <si>
    <t>Cords /Acre</t>
  </si>
  <si>
    <t>Total Volume IM</t>
  </si>
  <si>
    <t>Total Volume TSale</t>
  </si>
  <si>
    <t>Change</t>
  </si>
  <si>
    <t>Percent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</si>
</sst>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6">
    <xf numFmtId="0" fontId="0" fillId="0" borderId="0" xfId="0"/>
    <xf numFmtId="0" fontId="0" fillId="0" borderId="0" xfId="0" applyAlignment="1">
      <alignment horizontal="center"/>
    </xf>
    <xf numFmtId="164" fontId="0" fillId="0" borderId="0" xfId="0" applyNumberFormat="1"/>
    <xf numFmtId="2" fontId="0" fillId="0" borderId="0" xfId="0" applyNumberFormat="1"/>
    <xf numFmtId="9" fontId="0" fillId="0" borderId="0" xfId="1" applyFont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9" fontId="2" fillId="0" borderId="0" xfId="1" applyFont="1"/>
    <xf numFmtId="2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2" fillId="0" borderId="0" xfId="0" applyFont="1" applyAlignment="1">
      <alignment horizontal="center" wrapText="1"/>
    </xf>
    <xf numFmtId="0" fontId="0" fillId="0" borderId="1" xfId="0" applyBorder="1"/>
    <xf numFmtId="0" fontId="0" fillId="0" borderId="3" xfId="0" applyBorder="1"/>
    <xf numFmtId="0" fontId="0" fillId="0" borderId="2" xfId="0" applyBorder="1"/>
    <xf numFmtId="164" fontId="0" fillId="0" borderId="2" xfId="0" applyNumberFormat="1" applyBorder="1"/>
    <xf numFmtId="0" fontId="0" fillId="0" borderId="5" xfId="0" applyBorder="1"/>
    <xf numFmtId="0" fontId="0" fillId="0" borderId="4" xfId="0" applyBorder="1"/>
    <xf numFmtId="164" fontId="4" fillId="0" borderId="0" xfId="0" applyNumberFormat="1" applyFont="1"/>
    <xf numFmtId="164" fontId="0" fillId="0" borderId="4" xfId="0" applyNumberFormat="1" applyBorder="1"/>
    <xf numFmtId="164" fontId="0" fillId="0" borderId="5" xfId="0" applyNumberFormat="1" applyBorder="1"/>
    <xf numFmtId="0" fontId="0" fillId="0" borderId="6" xfId="0" applyBorder="1"/>
    <xf numFmtId="0" fontId="0" fillId="0" borderId="7" xfId="0" applyBorder="1"/>
    <xf numFmtId="0" fontId="0" fillId="0" borderId="9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0" xfId="0" applyBorder="1" applyAlignment="1">
      <alignment horizontal="center" vertical="center" wrapText="1"/>
    </xf>
    <xf numFmtId="0" fontId="0" fillId="0" borderId="11" xfId="0" applyBorder="1" applyAlignment="1">
      <alignment vertical="center" wrapText="1"/>
    </xf>
    <xf numFmtId="0" fontId="0" fillId="0" borderId="0" xfId="0" applyAlignment="1">
      <alignment horizontal="center" wrapText="1"/>
    </xf>
    <xf numFmtId="0" fontId="0" fillId="0" borderId="13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5" xfId="0" applyBorder="1"/>
    <xf numFmtId="164" fontId="0" fillId="0" borderId="15" xfId="0" applyNumberFormat="1" applyBorder="1"/>
    <xf numFmtId="0" fontId="0" fillId="0" borderId="16" xfId="0" applyBorder="1"/>
    <xf numFmtId="0" fontId="0" fillId="0" borderId="8" xfId="0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9" fontId="0" fillId="0" borderId="9" xfId="0" applyNumberFormat="1" applyBorder="1" applyAlignment="1">
      <alignment horizontal="center"/>
    </xf>
    <xf numFmtId="9" fontId="2" fillId="0" borderId="9" xfId="1" applyFont="1" applyBorder="1" applyAlignment="1">
      <alignment horizontal="center"/>
    </xf>
    <xf numFmtId="0" fontId="2" fillId="0" borderId="8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12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9" fontId="0" fillId="0" borderId="11" xfId="1" applyFont="1" applyBorder="1" applyAlignment="1">
      <alignment horizont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B80052-52F5-426D-A722-7C99224E6C28}">
  <sheetPr>
    <pageSetUpPr fitToPage="1"/>
  </sheetPr>
  <dimension ref="A1:K24"/>
  <sheetViews>
    <sheetView tabSelected="1" zoomScale="140" zoomScaleNormal="140" workbookViewId="0">
      <selection activeCell="N16" sqref="N16"/>
    </sheetView>
  </sheetViews>
  <sheetFormatPr defaultRowHeight="15" x14ac:dyDescent="0.25"/>
  <cols>
    <col min="1" max="1" width="20.28515625" customWidth="1"/>
    <col min="2" max="2" width="13.28515625" customWidth="1"/>
    <col min="3" max="3" width="12.140625" customWidth="1"/>
    <col min="4" max="4" width="11.7109375" customWidth="1"/>
    <col min="5" max="5" width="23.28515625" customWidth="1"/>
    <col min="10" max="10" width="8.85546875" style="1"/>
  </cols>
  <sheetData>
    <row r="1" spans="1:10" ht="15.75" thickBot="1" x14ac:dyDescent="0.3"/>
    <row r="2" spans="1:10" ht="45.75" customHeight="1" x14ac:dyDescent="0.25">
      <c r="A2" s="41" t="s">
        <v>70</v>
      </c>
      <c r="B2" s="41" t="s">
        <v>71</v>
      </c>
      <c r="C2" s="41" t="s">
        <v>72</v>
      </c>
      <c r="D2" s="41" t="s">
        <v>73</v>
      </c>
      <c r="E2" s="41" t="s">
        <v>74</v>
      </c>
      <c r="F2" s="28" t="s">
        <v>103</v>
      </c>
      <c r="G2" s="1" t="s">
        <v>7</v>
      </c>
      <c r="H2" s="28" t="s">
        <v>105</v>
      </c>
      <c r="I2" s="28" t="s">
        <v>104</v>
      </c>
      <c r="J2" s="35" t="s">
        <v>107</v>
      </c>
    </row>
    <row r="3" spans="1:10" ht="15.75" thickBot="1" x14ac:dyDescent="0.3">
      <c r="A3" s="42"/>
      <c r="B3" s="42"/>
      <c r="C3" s="42"/>
      <c r="D3" s="42"/>
      <c r="E3" s="42"/>
      <c r="J3" s="36"/>
    </row>
    <row r="4" spans="1:10" ht="15.75" thickBot="1" x14ac:dyDescent="0.3">
      <c r="A4" s="29" t="s">
        <v>75</v>
      </c>
      <c r="B4" s="30" t="s">
        <v>0</v>
      </c>
      <c r="C4" s="30"/>
      <c r="D4" s="31" t="s">
        <v>76</v>
      </c>
      <c r="E4" s="30" t="s">
        <v>84</v>
      </c>
      <c r="F4" s="32">
        <v>10.995440414507772</v>
      </c>
      <c r="G4" s="33">
        <v>29</v>
      </c>
      <c r="H4" s="32">
        <f>F4*G4</f>
        <v>318.8677720207254</v>
      </c>
      <c r="I4" s="32"/>
      <c r="J4" s="37"/>
    </row>
    <row r="5" spans="1:10" ht="15.75" thickBot="1" x14ac:dyDescent="0.3">
      <c r="A5" s="24" t="s">
        <v>77</v>
      </c>
      <c r="B5" s="25" t="s">
        <v>0</v>
      </c>
      <c r="C5" s="25"/>
      <c r="D5" s="26" t="s">
        <v>76</v>
      </c>
      <c r="E5" s="25" t="s">
        <v>85</v>
      </c>
      <c r="F5">
        <v>11.138721934369601</v>
      </c>
      <c r="G5" s="2">
        <v>29</v>
      </c>
      <c r="J5" s="45">
        <f>(I6-H4)/H4</f>
        <v>3.5005820464506281E-2</v>
      </c>
    </row>
    <row r="6" spans="1:10" ht="15.75" thickBot="1" x14ac:dyDescent="0.3">
      <c r="A6" s="24" t="s">
        <v>78</v>
      </c>
      <c r="B6" s="25" t="s">
        <v>0</v>
      </c>
      <c r="C6" s="25"/>
      <c r="D6" s="26" t="s">
        <v>76</v>
      </c>
      <c r="E6" s="25" t="s">
        <v>86</v>
      </c>
      <c r="F6" s="34">
        <v>11.400000000000002</v>
      </c>
      <c r="G6" s="34">
        <v>28.95</v>
      </c>
      <c r="H6" s="34"/>
      <c r="I6" s="34">
        <f>F6*G6</f>
        <v>330.03000000000003</v>
      </c>
      <c r="J6" s="38"/>
    </row>
    <row r="7" spans="1:10" ht="15.75" thickBot="1" x14ac:dyDescent="0.3">
      <c r="A7" s="29" t="s">
        <v>75</v>
      </c>
      <c r="B7" s="30" t="s">
        <v>79</v>
      </c>
      <c r="C7" s="30"/>
      <c r="D7" s="31" t="s">
        <v>76</v>
      </c>
      <c r="E7" s="30" t="s">
        <v>87</v>
      </c>
      <c r="F7" s="32">
        <v>45.306232558139534</v>
      </c>
      <c r="G7" s="32">
        <v>21.5</v>
      </c>
      <c r="H7" s="32">
        <f t="shared" ref="H7:H21" si="0">F7*G7</f>
        <v>974.08399999999995</v>
      </c>
      <c r="I7" s="32"/>
      <c r="J7" s="37"/>
    </row>
    <row r="8" spans="1:10" ht="15.75" thickBot="1" x14ac:dyDescent="0.3">
      <c r="A8" s="24" t="s">
        <v>77</v>
      </c>
      <c r="B8" s="25" t="s">
        <v>79</v>
      </c>
      <c r="C8" s="25"/>
      <c r="D8" s="26" t="s">
        <v>76</v>
      </c>
      <c r="E8" s="25" t="s">
        <v>88</v>
      </c>
      <c r="F8">
        <v>47.97767441860465</v>
      </c>
      <c r="G8">
        <v>21.5</v>
      </c>
      <c r="J8" s="45">
        <f>(I9-H7)/H7</f>
        <v>0.15651422259271272</v>
      </c>
    </row>
    <row r="9" spans="1:10" ht="15.75" thickBot="1" x14ac:dyDescent="0.3">
      <c r="A9" s="24" t="s">
        <v>78</v>
      </c>
      <c r="B9" s="25" t="s">
        <v>79</v>
      </c>
      <c r="C9" s="25"/>
      <c r="D9" s="26" t="s">
        <v>76</v>
      </c>
      <c r="E9" s="25" t="s">
        <v>89</v>
      </c>
      <c r="F9" s="34">
        <v>52.3</v>
      </c>
      <c r="G9" s="34">
        <v>21.54</v>
      </c>
      <c r="H9" s="34"/>
      <c r="I9" s="34">
        <f>F9*G9</f>
        <v>1126.5419999999999</v>
      </c>
      <c r="J9" s="38"/>
    </row>
    <row r="10" spans="1:10" ht="15.75" thickBot="1" x14ac:dyDescent="0.3">
      <c r="A10" s="29" t="s">
        <v>75</v>
      </c>
      <c r="B10" s="30" t="s">
        <v>80</v>
      </c>
      <c r="C10" s="30"/>
      <c r="D10" s="31" t="s">
        <v>76</v>
      </c>
      <c r="E10" s="30" t="s">
        <v>90</v>
      </c>
      <c r="F10" s="32">
        <v>31.768309859154932</v>
      </c>
      <c r="G10" s="32">
        <v>28.4</v>
      </c>
      <c r="H10" s="32">
        <f t="shared" si="0"/>
        <v>902.22</v>
      </c>
      <c r="I10" s="32"/>
      <c r="J10" s="37"/>
    </row>
    <row r="11" spans="1:10" ht="15.75" thickBot="1" x14ac:dyDescent="0.3">
      <c r="A11" s="24" t="s">
        <v>77</v>
      </c>
      <c r="B11" s="25" t="s">
        <v>80</v>
      </c>
      <c r="C11" s="25"/>
      <c r="D11" s="26" t="s">
        <v>76</v>
      </c>
      <c r="E11" s="25" t="s">
        <v>92</v>
      </c>
      <c r="F11">
        <v>32.598802816901404</v>
      </c>
      <c r="G11">
        <v>28.4</v>
      </c>
      <c r="J11" s="45">
        <f>(I12-H10)/H10</f>
        <v>0.15401897541619566</v>
      </c>
    </row>
    <row r="12" spans="1:10" ht="15.75" thickBot="1" x14ac:dyDescent="0.3">
      <c r="A12" s="24" t="s">
        <v>78</v>
      </c>
      <c r="B12" s="25" t="s">
        <v>80</v>
      </c>
      <c r="C12" s="25"/>
      <c r="D12" s="26" t="s">
        <v>76</v>
      </c>
      <c r="E12" s="25" t="s">
        <v>91</v>
      </c>
      <c r="F12" s="34">
        <v>36.700000000000003</v>
      </c>
      <c r="G12" s="34">
        <v>28.37</v>
      </c>
      <c r="H12" s="34"/>
      <c r="I12" s="34">
        <f>F12*G12</f>
        <v>1041.1790000000001</v>
      </c>
      <c r="J12" s="38"/>
    </row>
    <row r="13" spans="1:10" ht="15.75" thickBot="1" x14ac:dyDescent="0.3">
      <c r="A13" s="29" t="s">
        <v>75</v>
      </c>
      <c r="B13" s="30" t="s">
        <v>81</v>
      </c>
      <c r="C13" s="30"/>
      <c r="D13" s="31" t="s">
        <v>76</v>
      </c>
      <c r="E13" s="30" t="s">
        <v>83</v>
      </c>
      <c r="F13" s="32">
        <v>19.620485175202155</v>
      </c>
      <c r="G13" s="32">
        <v>11.1</v>
      </c>
      <c r="H13" s="32">
        <f t="shared" si="0"/>
        <v>217.7873854447439</v>
      </c>
      <c r="I13" s="32"/>
      <c r="J13" s="37"/>
    </row>
    <row r="14" spans="1:10" ht="15.75" thickBot="1" x14ac:dyDescent="0.3">
      <c r="A14" s="24" t="s">
        <v>78</v>
      </c>
      <c r="B14" s="25" t="s">
        <v>81</v>
      </c>
      <c r="C14" s="25"/>
      <c r="D14" s="26" t="s">
        <v>76</v>
      </c>
      <c r="E14" s="25" t="s">
        <v>82</v>
      </c>
      <c r="F14" s="34">
        <v>21.5</v>
      </c>
      <c r="G14" s="34">
        <v>11.13</v>
      </c>
      <c r="H14" s="34"/>
      <c r="I14" s="34">
        <f>F14*G14</f>
        <v>239.29500000000002</v>
      </c>
      <c r="J14" s="39">
        <f>(I14-H13)/H13</f>
        <v>9.8755097827798358E-2</v>
      </c>
    </row>
    <row r="15" spans="1:10" ht="15.75" thickBot="1" x14ac:dyDescent="0.3">
      <c r="A15" s="29" t="s">
        <v>77</v>
      </c>
      <c r="B15" s="30" t="s">
        <v>0</v>
      </c>
      <c r="C15" s="31" t="s">
        <v>76</v>
      </c>
      <c r="D15" s="31"/>
      <c r="E15" s="30" t="s">
        <v>94</v>
      </c>
      <c r="F15" s="32">
        <v>28.841194029850747</v>
      </c>
      <c r="G15" s="32">
        <v>33.5</v>
      </c>
      <c r="H15" s="32">
        <f t="shared" si="0"/>
        <v>966.18000000000006</v>
      </c>
      <c r="I15" s="32"/>
      <c r="J15" s="37"/>
    </row>
    <row r="16" spans="1:10" ht="15.75" thickBot="1" x14ac:dyDescent="0.3">
      <c r="A16" s="24" t="s">
        <v>78</v>
      </c>
      <c r="B16" s="25" t="s">
        <v>0</v>
      </c>
      <c r="C16" s="26" t="s">
        <v>76</v>
      </c>
      <c r="D16" s="26"/>
      <c r="E16" s="25" t="s">
        <v>93</v>
      </c>
      <c r="F16" s="34">
        <v>27.799999999999997</v>
      </c>
      <c r="G16" s="34">
        <v>33.5</v>
      </c>
      <c r="H16" s="34"/>
      <c r="I16" s="34">
        <f>F16*G16</f>
        <v>931.3</v>
      </c>
      <c r="J16" s="39">
        <f>(I16-H15)/H15</f>
        <v>-3.6100933573454334E-2</v>
      </c>
    </row>
    <row r="17" spans="1:11" ht="15.75" thickBot="1" x14ac:dyDescent="0.3">
      <c r="A17" s="29" t="s">
        <v>77</v>
      </c>
      <c r="B17" s="30" t="s">
        <v>79</v>
      </c>
      <c r="C17" s="31" t="s">
        <v>76</v>
      </c>
      <c r="D17" s="31"/>
      <c r="E17" s="30" t="s">
        <v>95</v>
      </c>
      <c r="F17" s="32">
        <v>49.557706093189964</v>
      </c>
      <c r="G17" s="32">
        <v>27.9</v>
      </c>
      <c r="H17" s="32">
        <f t="shared" si="0"/>
        <v>1382.6599999999999</v>
      </c>
      <c r="I17" s="32"/>
      <c r="J17" s="37"/>
    </row>
    <row r="18" spans="1:11" ht="15.75" thickBot="1" x14ac:dyDescent="0.3">
      <c r="A18" s="24" t="s">
        <v>78</v>
      </c>
      <c r="B18" s="25" t="s">
        <v>79</v>
      </c>
      <c r="C18" s="26" t="s">
        <v>76</v>
      </c>
      <c r="D18" s="26"/>
      <c r="E18" s="25" t="s">
        <v>96</v>
      </c>
      <c r="F18" s="34">
        <v>49.800000000000004</v>
      </c>
      <c r="G18" s="34">
        <v>27.9</v>
      </c>
      <c r="H18" s="34"/>
      <c r="I18" s="34">
        <f>F18*G18</f>
        <v>1389.42</v>
      </c>
      <c r="J18" s="39">
        <f>(I18-H17)/H17</f>
        <v>4.8891267556740049E-3</v>
      </c>
    </row>
    <row r="19" spans="1:11" ht="15.75" thickBot="1" x14ac:dyDescent="0.3">
      <c r="A19" s="29" t="s">
        <v>77</v>
      </c>
      <c r="B19" s="30" t="s">
        <v>80</v>
      </c>
      <c r="C19" s="31" t="s">
        <v>76</v>
      </c>
      <c r="D19" s="31"/>
      <c r="E19" s="30" t="s">
        <v>97</v>
      </c>
      <c r="F19" s="32">
        <v>31.714741035856569</v>
      </c>
      <c r="G19" s="32">
        <v>25.1</v>
      </c>
      <c r="H19" s="32">
        <f t="shared" si="0"/>
        <v>796.04</v>
      </c>
      <c r="I19" s="32"/>
      <c r="J19" s="37"/>
    </row>
    <row r="20" spans="1:11" ht="15.75" thickBot="1" x14ac:dyDescent="0.3">
      <c r="A20" s="24" t="s">
        <v>78</v>
      </c>
      <c r="B20" s="25" t="s">
        <v>80</v>
      </c>
      <c r="C20" s="26" t="s">
        <v>76</v>
      </c>
      <c r="D20" s="26"/>
      <c r="E20" s="25" t="s">
        <v>98</v>
      </c>
      <c r="F20" s="34">
        <v>35.299999999999997</v>
      </c>
      <c r="G20" s="34">
        <v>25.1</v>
      </c>
      <c r="H20" s="34"/>
      <c r="I20" s="34">
        <f>F20*G20</f>
        <v>886.03</v>
      </c>
      <c r="J20" s="39">
        <f>(I20-H19)/H19</f>
        <v>0.11304708306115273</v>
      </c>
    </row>
    <row r="21" spans="1:11" ht="15.75" thickBot="1" x14ac:dyDescent="0.3">
      <c r="A21" s="29" t="s">
        <v>77</v>
      </c>
      <c r="B21" s="30" t="s">
        <v>81</v>
      </c>
      <c r="C21" s="31" t="s">
        <v>76</v>
      </c>
      <c r="D21" s="31"/>
      <c r="E21" s="30" t="s">
        <v>99</v>
      </c>
      <c r="F21" s="32">
        <v>18.05535714285714</v>
      </c>
      <c r="G21" s="32">
        <v>33.6</v>
      </c>
      <c r="H21" s="32">
        <f t="shared" si="0"/>
        <v>606.66</v>
      </c>
      <c r="I21" s="32"/>
      <c r="J21" s="37"/>
    </row>
    <row r="22" spans="1:11" ht="15.75" thickBot="1" x14ac:dyDescent="0.3">
      <c r="A22" s="24" t="s">
        <v>78</v>
      </c>
      <c r="B22" s="25" t="s">
        <v>81</v>
      </c>
      <c r="C22" s="26" t="s">
        <v>76</v>
      </c>
      <c r="D22" s="26"/>
      <c r="E22" s="25" t="s">
        <v>100</v>
      </c>
      <c r="F22" s="34">
        <v>16.899999999999999</v>
      </c>
      <c r="G22" s="34">
        <v>33.6</v>
      </c>
      <c r="H22" s="34"/>
      <c r="I22" s="34">
        <f>F22*G22</f>
        <v>567.84</v>
      </c>
      <c r="J22" s="39">
        <f>(I22-H21)/H21</f>
        <v>-6.3989714172683121E-2</v>
      </c>
    </row>
    <row r="23" spans="1:11" ht="15.75" thickBot="1" x14ac:dyDescent="0.3">
      <c r="A23" s="27" t="s">
        <v>102</v>
      </c>
      <c r="H23">
        <f>SUM(H4:H22)</f>
        <v>6164.4991574654687</v>
      </c>
      <c r="I23">
        <f>SUM(I4:I22)</f>
        <v>6511.6360000000004</v>
      </c>
      <c r="J23" s="40">
        <f>(I23-H23)/H23</f>
        <v>5.6312254031884224E-2</v>
      </c>
      <c r="K23" s="5" t="s">
        <v>106</v>
      </c>
    </row>
    <row r="24" spans="1:11" x14ac:dyDescent="0.25">
      <c r="A24" s="43" t="s">
        <v>101</v>
      </c>
      <c r="B24" s="44"/>
      <c r="C24" s="44"/>
    </row>
  </sheetData>
  <mergeCells count="6">
    <mergeCell ref="E2:E3"/>
    <mergeCell ref="A24:C24"/>
    <mergeCell ref="A2:A3"/>
    <mergeCell ref="B2:B3"/>
    <mergeCell ref="C2:C3"/>
    <mergeCell ref="D2:D3"/>
  </mergeCells>
  <pageMargins left="0.7" right="0.7" top="0.75" bottom="0.75" header="0.3" footer="0.3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08764-05F9-434A-8039-BCC5CA743E7D}">
  <dimension ref="A1:M26"/>
  <sheetViews>
    <sheetView zoomScale="170" zoomScaleNormal="170" workbookViewId="0">
      <selection activeCell="B13" sqref="B13:B15"/>
    </sheetView>
  </sheetViews>
  <sheetFormatPr defaultRowHeight="15" x14ac:dyDescent="0.25"/>
  <cols>
    <col min="1" max="1" width="9.28515625" customWidth="1"/>
    <col min="2" max="2" width="13.7109375" customWidth="1"/>
    <col min="5" max="5" width="11" customWidth="1"/>
    <col min="6" max="7" width="10.140625" customWidth="1"/>
    <col min="10" max="10" width="8" customWidth="1"/>
    <col min="11" max="11" width="10.28515625" customWidth="1"/>
    <col min="12" max="12" width="10.42578125" customWidth="1"/>
  </cols>
  <sheetData>
    <row r="1" spans="1:13" x14ac:dyDescent="0.25">
      <c r="B1" t="s">
        <v>43</v>
      </c>
    </row>
    <row r="2" spans="1:13" x14ac:dyDescent="0.25">
      <c r="B2" t="s">
        <v>44</v>
      </c>
      <c r="E2" s="1" t="s">
        <v>32</v>
      </c>
      <c r="F2" s="1" t="s">
        <v>34</v>
      </c>
      <c r="G2" t="s">
        <v>33</v>
      </c>
      <c r="I2" t="s">
        <v>16</v>
      </c>
      <c r="J2" t="s">
        <v>17</v>
      </c>
      <c r="L2" s="3"/>
    </row>
    <row r="3" spans="1:13" x14ac:dyDescent="0.25">
      <c r="B3" t="s">
        <v>0</v>
      </c>
      <c r="C3" t="s">
        <v>3</v>
      </c>
      <c r="D3" t="s">
        <v>5</v>
      </c>
      <c r="E3" s="2">
        <v>10.054</v>
      </c>
      <c r="F3" s="2">
        <v>5.968</v>
      </c>
      <c r="G3" s="2">
        <f>I3*$B$15</f>
        <v>14.475</v>
      </c>
      <c r="H3" s="2" t="s">
        <v>5</v>
      </c>
      <c r="I3">
        <v>0.5</v>
      </c>
    </row>
    <row r="4" spans="1:13" x14ac:dyDescent="0.25">
      <c r="D4" s="5" t="s">
        <v>25</v>
      </c>
      <c r="E4" s="6">
        <f t="shared" ref="E4:F4" si="0">SUM(E3)</f>
        <v>10.054</v>
      </c>
      <c r="F4" s="6">
        <f t="shared" si="0"/>
        <v>5.968</v>
      </c>
      <c r="G4" s="6">
        <f>SUM(G3)</f>
        <v>14.475</v>
      </c>
      <c r="H4" s="6" t="s">
        <v>5</v>
      </c>
    </row>
    <row r="5" spans="1:13" x14ac:dyDescent="0.25">
      <c r="B5" t="s">
        <v>1</v>
      </c>
      <c r="C5" t="s">
        <v>4</v>
      </c>
      <c r="D5" t="s">
        <v>6</v>
      </c>
      <c r="E5" s="2">
        <v>30.68</v>
      </c>
      <c r="F5" s="2">
        <v>30.68</v>
      </c>
      <c r="G5" s="2">
        <f>J5*$B$15</f>
        <v>34.739999999999995</v>
      </c>
      <c r="H5" s="2" t="s">
        <v>6</v>
      </c>
      <c r="J5">
        <v>1.2</v>
      </c>
    </row>
    <row r="6" spans="1:13" x14ac:dyDescent="0.25">
      <c r="B6" t="s">
        <v>0</v>
      </c>
      <c r="C6" t="s">
        <v>4</v>
      </c>
      <c r="D6" t="s">
        <v>6</v>
      </c>
      <c r="E6" s="2">
        <v>258.83</v>
      </c>
      <c r="F6" s="2">
        <v>271.14999999999998</v>
      </c>
      <c r="G6" s="2">
        <f>J6*$B$15</f>
        <v>252.70784810126582</v>
      </c>
      <c r="H6" s="2" t="s">
        <v>6</v>
      </c>
      <c r="J6" s="2">
        <f>9.9 - (I3*185)/79</f>
        <v>8.7291139240506332</v>
      </c>
    </row>
    <row r="7" spans="1:13" x14ac:dyDescent="0.25">
      <c r="B7" t="s">
        <v>2</v>
      </c>
      <c r="C7" t="s">
        <v>4</v>
      </c>
      <c r="D7" t="s">
        <v>6</v>
      </c>
      <c r="E7" s="2">
        <v>5.8</v>
      </c>
      <c r="F7" s="2">
        <v>5.8</v>
      </c>
      <c r="G7" s="2">
        <f>J7*$B$15</f>
        <v>5.79</v>
      </c>
      <c r="H7" s="2" t="s">
        <v>6</v>
      </c>
      <c r="J7">
        <v>0.2</v>
      </c>
    </row>
    <row r="8" spans="1:13" x14ac:dyDescent="0.25">
      <c r="B8" t="s">
        <v>18</v>
      </c>
      <c r="E8" s="2">
        <v>2.9</v>
      </c>
      <c r="F8" s="2">
        <v>2.9</v>
      </c>
      <c r="G8" s="2">
        <f>J8*$B$15</f>
        <v>2.895</v>
      </c>
      <c r="H8" s="2" t="s">
        <v>6</v>
      </c>
      <c r="J8">
        <v>0.1</v>
      </c>
    </row>
    <row r="9" spans="1:13" x14ac:dyDescent="0.25">
      <c r="D9" s="5" t="s">
        <v>25</v>
      </c>
      <c r="E9" s="6">
        <f>SUM(E5:E8)</f>
        <v>298.20999999999998</v>
      </c>
      <c r="F9" s="6">
        <f>SUM(F5:F8)</f>
        <v>310.52999999999997</v>
      </c>
      <c r="G9" s="6">
        <f>SUM(G5:G8)</f>
        <v>296.13284810126584</v>
      </c>
      <c r="H9" s="6" t="s">
        <v>6</v>
      </c>
      <c r="J9" s="10">
        <f>SUM(J5:J8) + ( I3*185)/79</f>
        <v>11.399999999999999</v>
      </c>
    </row>
    <row r="10" spans="1:13" x14ac:dyDescent="0.25">
      <c r="E10" s="19">
        <f>(E4*2+E9)/B13</f>
        <v>10.976482758620689</v>
      </c>
      <c r="F10" s="19">
        <f>(F4*2+F9)/B13</f>
        <v>11.11951724137931</v>
      </c>
      <c r="G10" s="11">
        <f>((G4*185/79)+G9)/B14</f>
        <v>11.380344827586208</v>
      </c>
      <c r="H10" s="2" t="s">
        <v>17</v>
      </c>
    </row>
    <row r="12" spans="1:13" x14ac:dyDescent="0.25">
      <c r="B12" t="s">
        <v>7</v>
      </c>
      <c r="C12" t="s">
        <v>8</v>
      </c>
      <c r="D12" t="s">
        <v>9</v>
      </c>
      <c r="E12" s="1" t="s">
        <v>24</v>
      </c>
      <c r="F12" s="5" t="s">
        <v>26</v>
      </c>
      <c r="G12" t="s">
        <v>23</v>
      </c>
      <c r="H12" s="7" t="s">
        <v>22</v>
      </c>
      <c r="I12" t="s">
        <v>10</v>
      </c>
      <c r="J12" t="s">
        <v>14</v>
      </c>
      <c r="K12" t="s">
        <v>11</v>
      </c>
      <c r="L12" s="5" t="s">
        <v>12</v>
      </c>
      <c r="M12" t="s">
        <v>13</v>
      </c>
    </row>
    <row r="13" spans="1:13" x14ac:dyDescent="0.25">
      <c r="A13" t="s">
        <v>19</v>
      </c>
      <c r="B13" s="2">
        <v>29</v>
      </c>
      <c r="C13">
        <v>66.5</v>
      </c>
      <c r="D13" s="19">
        <v>11.13</v>
      </c>
      <c r="E13" s="2">
        <f>TINV(0.05,M13-1)*(I13/M13^0.5)</f>
        <v>2.5085572184107705</v>
      </c>
      <c r="F13" s="6">
        <f>B13*D13</f>
        <v>322.77000000000004</v>
      </c>
      <c r="G13" s="2">
        <f>TINV(0.05,M13-1)*(I13/M13^0.5)*B13</f>
        <v>72.748159333912341</v>
      </c>
      <c r="H13" s="8">
        <f>G13/F13</f>
        <v>0.22538699177095867</v>
      </c>
      <c r="I13">
        <v>5.36</v>
      </c>
      <c r="J13">
        <v>28.77</v>
      </c>
      <c r="K13">
        <v>48.18</v>
      </c>
      <c r="L13" s="5">
        <v>21.55</v>
      </c>
      <c r="M13">
        <v>20</v>
      </c>
    </row>
    <row r="14" spans="1:13" x14ac:dyDescent="0.25">
      <c r="A14" t="s">
        <v>20</v>
      </c>
      <c r="B14" s="2">
        <v>29</v>
      </c>
      <c r="C14">
        <v>66.5</v>
      </c>
      <c r="D14" s="19">
        <v>11.13</v>
      </c>
      <c r="E14" s="2">
        <f t="shared" ref="E14" si="1">TINV(0.05,M14-1)*(I14/M14^0.5)</f>
        <v>2.5085572184107705</v>
      </c>
      <c r="F14" s="6">
        <f>B14*D14</f>
        <v>322.77000000000004</v>
      </c>
      <c r="G14" s="2">
        <f>TINV(0.05,M14-1)*(I14/M14^0.5)*B14</f>
        <v>72.748159333912341</v>
      </c>
      <c r="H14" s="8">
        <f t="shared" ref="H14:H15" si="2">G14/F14</f>
        <v>0.22538699177095867</v>
      </c>
      <c r="I14">
        <v>5.36</v>
      </c>
      <c r="J14">
        <v>28.77</v>
      </c>
      <c r="K14">
        <v>48.18</v>
      </c>
      <c r="L14" s="5">
        <v>21.55</v>
      </c>
      <c r="M14">
        <v>20</v>
      </c>
    </row>
    <row r="15" spans="1:13" x14ac:dyDescent="0.25">
      <c r="A15" t="s">
        <v>21</v>
      </c>
      <c r="B15">
        <v>28.95</v>
      </c>
      <c r="C15">
        <v>66.5</v>
      </c>
      <c r="D15" s="11">
        <v>11.8</v>
      </c>
      <c r="E15" s="2">
        <f>G15/B15</f>
        <v>2.3592400690846289</v>
      </c>
      <c r="F15" s="6">
        <f>B15*D15</f>
        <v>341.61</v>
      </c>
      <c r="G15" s="2">
        <f>342.3-274</f>
        <v>68.300000000000011</v>
      </c>
      <c r="H15" s="8">
        <f t="shared" si="2"/>
        <v>0.19993559907496855</v>
      </c>
      <c r="I15" s="3">
        <f>M15^0.5 * (E15/TINV(0.05,M15-1))</f>
        <v>5.0409560832361029</v>
      </c>
      <c r="J15" s="3">
        <f>I15^2</f>
        <v>25.411238233115071</v>
      </c>
      <c r="K15" s="3">
        <f>I15/D15*100</f>
        <v>42.719966807085612</v>
      </c>
      <c r="L15" s="9">
        <f>((TINV(0.05,M15)*I15/M15^0.5))/D15*100</f>
        <v>19.926113634441155</v>
      </c>
      <c r="M15">
        <v>20</v>
      </c>
    </row>
    <row r="16" spans="1:13" x14ac:dyDescent="0.25">
      <c r="F16" s="4">
        <f>(F15-F14)/F14</f>
        <v>5.8369736964401814E-2</v>
      </c>
    </row>
    <row r="17" spans="1:3" x14ac:dyDescent="0.25">
      <c r="A17" t="s">
        <v>37</v>
      </c>
      <c r="B17" t="s">
        <v>38</v>
      </c>
    </row>
    <row r="18" spans="1:3" x14ac:dyDescent="0.25">
      <c r="A18" t="s">
        <v>39</v>
      </c>
      <c r="B18" t="s">
        <v>66</v>
      </c>
    </row>
    <row r="20" spans="1:3" x14ac:dyDescent="0.25">
      <c r="A20" t="s">
        <v>54</v>
      </c>
    </row>
    <row r="21" spans="1:3" x14ac:dyDescent="0.25">
      <c r="A21" s="13" t="s">
        <v>55</v>
      </c>
      <c r="B21" s="17" t="s">
        <v>56</v>
      </c>
      <c r="C21" s="14" t="s">
        <v>57</v>
      </c>
    </row>
    <row r="22" spans="1:3" x14ac:dyDescent="0.25">
      <c r="A22" t="s">
        <v>60</v>
      </c>
      <c r="B22" s="20">
        <v>3</v>
      </c>
      <c r="C22" s="16"/>
    </row>
    <row r="23" spans="1:3" x14ac:dyDescent="0.25">
      <c r="A23" t="s">
        <v>67</v>
      </c>
      <c r="B23" s="20">
        <v>3</v>
      </c>
      <c r="C23" s="15"/>
    </row>
    <row r="24" spans="1:3" x14ac:dyDescent="0.25">
      <c r="A24" t="s">
        <v>0</v>
      </c>
      <c r="B24" s="18">
        <v>2.2999999999999998</v>
      </c>
      <c r="C24" s="15">
        <v>1.1000000000000001</v>
      </c>
    </row>
    <row r="25" spans="1:3" x14ac:dyDescent="0.25">
      <c r="A25" s="13" t="s">
        <v>2</v>
      </c>
      <c r="B25" s="17">
        <v>1.7</v>
      </c>
      <c r="C25" s="14"/>
    </row>
    <row r="26" spans="1:3" x14ac:dyDescent="0.25">
      <c r="A26" t="s">
        <v>58</v>
      </c>
      <c r="B26" s="18">
        <v>2.2999999999999998</v>
      </c>
      <c r="C26" s="16">
        <v>1.1000000000000001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55895-3144-4C29-AEA1-5746CDE4A446}">
  <dimension ref="A1:M22"/>
  <sheetViews>
    <sheetView zoomScale="170" zoomScaleNormal="170" workbookViewId="0">
      <selection activeCell="L16" sqref="L16"/>
    </sheetView>
  </sheetViews>
  <sheetFormatPr defaultRowHeight="15" x14ac:dyDescent="0.25"/>
  <cols>
    <col min="2" max="2" width="10.28515625" customWidth="1"/>
    <col min="3" max="3" width="12.7109375" customWidth="1"/>
    <col min="4" max="4" width="10.28515625" customWidth="1"/>
    <col min="5" max="5" width="11" customWidth="1"/>
    <col min="6" max="7" width="10.140625" customWidth="1"/>
  </cols>
  <sheetData>
    <row r="1" spans="1:13" x14ac:dyDescent="0.25">
      <c r="B1" t="s">
        <v>45</v>
      </c>
    </row>
    <row r="2" spans="1:13" x14ac:dyDescent="0.25">
      <c r="B2" t="s">
        <v>46</v>
      </c>
      <c r="E2" s="1" t="s">
        <v>32</v>
      </c>
      <c r="F2" s="1" t="s">
        <v>34</v>
      </c>
      <c r="G2" t="s">
        <v>33</v>
      </c>
      <c r="I2" t="s">
        <v>16</v>
      </c>
      <c r="J2" t="s">
        <v>17</v>
      </c>
      <c r="L2" s="3"/>
    </row>
    <row r="3" spans="1:13" x14ac:dyDescent="0.25">
      <c r="B3" t="s">
        <v>15</v>
      </c>
      <c r="C3" t="s">
        <v>3</v>
      </c>
      <c r="D3" t="s">
        <v>5</v>
      </c>
      <c r="E3" s="2">
        <v>277.58199999999999</v>
      </c>
      <c r="F3" s="2">
        <v>196.97499999999999</v>
      </c>
      <c r="G3" s="2">
        <f>I3*$B$13</f>
        <v>178.78200000000001</v>
      </c>
      <c r="H3" s="2" t="s">
        <v>5</v>
      </c>
      <c r="I3">
        <v>8.3000000000000007</v>
      </c>
    </row>
    <row r="4" spans="1:13" x14ac:dyDescent="0.25">
      <c r="D4" s="5" t="s">
        <v>25</v>
      </c>
      <c r="E4" s="6">
        <f t="shared" ref="E4:F4" si="0">SUM(E3)</f>
        <v>277.58199999999999</v>
      </c>
      <c r="F4" s="6">
        <f t="shared" si="0"/>
        <v>196.97499999999999</v>
      </c>
      <c r="G4" s="6">
        <f>SUM(G3)</f>
        <v>178.78200000000001</v>
      </c>
      <c r="H4" s="6" t="s">
        <v>5</v>
      </c>
    </row>
    <row r="5" spans="1:13" x14ac:dyDescent="0.25">
      <c r="B5" t="s">
        <v>15</v>
      </c>
      <c r="C5" t="s">
        <v>4</v>
      </c>
      <c r="D5" t="s">
        <v>6</v>
      </c>
      <c r="E5" s="2">
        <v>410.32</v>
      </c>
      <c r="F5" s="2">
        <v>628.97</v>
      </c>
      <c r="G5" s="2">
        <f>J5*$B$13</f>
        <v>697.10529113924042</v>
      </c>
      <c r="H5" s="2" t="s">
        <v>6</v>
      </c>
      <c r="J5" s="2">
        <f>31.2+20.6-(I3*185)/79</f>
        <v>32.363291139240502</v>
      </c>
    </row>
    <row r="6" spans="1:13" x14ac:dyDescent="0.25">
      <c r="B6" t="s">
        <v>2</v>
      </c>
      <c r="C6" t="s">
        <v>4</v>
      </c>
      <c r="D6" t="s">
        <v>6</v>
      </c>
      <c r="E6" s="2">
        <v>8.6</v>
      </c>
      <c r="F6" s="2">
        <v>8.6</v>
      </c>
      <c r="G6" s="2">
        <f>J6*$B$13</f>
        <v>10.77</v>
      </c>
      <c r="H6" s="2" t="s">
        <v>6</v>
      </c>
      <c r="J6">
        <v>0.5</v>
      </c>
    </row>
    <row r="7" spans="1:13" x14ac:dyDescent="0.25">
      <c r="D7" s="5" t="s">
        <v>25</v>
      </c>
      <c r="E7" s="6">
        <f>SUM(E5:E6)</f>
        <v>418.92</v>
      </c>
      <c r="F7" s="6">
        <f>SUM(F5:F6)</f>
        <v>637.57000000000005</v>
      </c>
      <c r="G7" s="6">
        <f>SUM(G5:G6)</f>
        <v>707.8752911392404</v>
      </c>
      <c r="H7" s="6" t="s">
        <v>6</v>
      </c>
      <c r="J7" s="10">
        <f>SUM(J5:J6) + (I3*185)/79</f>
        <v>52.3</v>
      </c>
    </row>
    <row r="8" spans="1:13" x14ac:dyDescent="0.25">
      <c r="E8" s="19">
        <f>(E4*2+E7)/$B$11</f>
        <v>45.306232558139534</v>
      </c>
      <c r="F8" s="19">
        <f>(F4*2+F7)/$B$11</f>
        <v>47.97767441860465</v>
      </c>
      <c r="G8" s="10">
        <f>(G4*185/79+G7)/B13</f>
        <v>52.3</v>
      </c>
      <c r="H8" s="2" t="s">
        <v>17</v>
      </c>
    </row>
    <row r="10" spans="1:13" x14ac:dyDescent="0.25">
      <c r="B10" t="s">
        <v>7</v>
      </c>
      <c r="C10" t="s">
        <v>8</v>
      </c>
      <c r="D10" t="s">
        <v>9</v>
      </c>
      <c r="E10" s="1" t="s">
        <v>24</v>
      </c>
      <c r="F10" s="5" t="s">
        <v>26</v>
      </c>
      <c r="G10" t="s">
        <v>23</v>
      </c>
      <c r="H10" s="7" t="s">
        <v>22</v>
      </c>
      <c r="I10" t="s">
        <v>10</v>
      </c>
      <c r="J10" t="s">
        <v>14</v>
      </c>
      <c r="K10" t="s">
        <v>11</v>
      </c>
      <c r="L10" s="5" t="s">
        <v>12</v>
      </c>
      <c r="M10" t="s">
        <v>13</v>
      </c>
    </row>
    <row r="11" spans="1:13" x14ac:dyDescent="0.25">
      <c r="A11" t="s">
        <v>19</v>
      </c>
      <c r="B11">
        <v>21.5</v>
      </c>
      <c r="C11">
        <v>150.66999999999999</v>
      </c>
      <c r="D11" s="19">
        <v>48.3</v>
      </c>
      <c r="E11" s="2">
        <f>TINV(0.05,M11-1)*(I11/M11^0.5)</f>
        <v>7.7806306589863956</v>
      </c>
      <c r="F11" s="6">
        <f>B11*D11</f>
        <v>1038.45</v>
      </c>
      <c r="G11" s="2">
        <f>TINV(0.05,M11-1)*(I11/M11^0.5)*B11</f>
        <v>167.28355916820752</v>
      </c>
      <c r="H11" s="8">
        <f>G11/F11</f>
        <v>0.16108966167673697</v>
      </c>
      <c r="I11">
        <v>14.05</v>
      </c>
      <c r="J11">
        <v>197.46</v>
      </c>
      <c r="K11">
        <v>29.1</v>
      </c>
      <c r="L11" s="5">
        <v>15.03</v>
      </c>
      <c r="M11">
        <v>15</v>
      </c>
    </row>
    <row r="12" spans="1:13" x14ac:dyDescent="0.25">
      <c r="A12" t="s">
        <v>20</v>
      </c>
      <c r="B12">
        <v>21.5</v>
      </c>
      <c r="C12">
        <v>150.66999999999999</v>
      </c>
      <c r="D12" s="19">
        <v>48.3</v>
      </c>
      <c r="E12" s="2">
        <f t="shared" ref="E12" si="1">TINV(0.05,M12-1)*(I12/M12^0.5)</f>
        <v>7.7806306589863956</v>
      </c>
      <c r="F12" s="6">
        <f>B12*D12</f>
        <v>1038.45</v>
      </c>
      <c r="G12" s="2">
        <f>TINV(0.05,M12-1)*(I12/M12^0.5)*B12</f>
        <v>167.28355916820752</v>
      </c>
      <c r="H12" s="8">
        <f t="shared" ref="H12:H13" si="2">G12/F12</f>
        <v>0.16108966167673697</v>
      </c>
      <c r="I12">
        <v>14.05</v>
      </c>
      <c r="J12">
        <v>197.46</v>
      </c>
      <c r="K12">
        <v>29.1</v>
      </c>
      <c r="L12" s="5">
        <v>15.03</v>
      </c>
      <c r="M12">
        <v>15</v>
      </c>
    </row>
    <row r="13" spans="1:13" x14ac:dyDescent="0.25">
      <c r="A13" t="s">
        <v>21</v>
      </c>
      <c r="B13">
        <v>21.54</v>
      </c>
      <c r="C13">
        <v>149.30000000000001</v>
      </c>
      <c r="D13" s="11">
        <v>51.1</v>
      </c>
      <c r="E13" s="2">
        <f>G13/B13</f>
        <v>6.8523676880222855</v>
      </c>
      <c r="F13" s="6">
        <f>B13*D13</f>
        <v>1100.694</v>
      </c>
      <c r="G13" s="2">
        <f>1101-953.4</f>
        <v>147.60000000000002</v>
      </c>
      <c r="H13" s="8">
        <f t="shared" si="2"/>
        <v>0.13409721502979033</v>
      </c>
      <c r="I13" s="3">
        <f>M13^0.5 * (E13/TINV(0.05,M13-1))</f>
        <v>12.373774085461502</v>
      </c>
      <c r="J13" s="3">
        <f>I13^2</f>
        <v>153.11028511803863</v>
      </c>
      <c r="K13" s="3">
        <f>I13/D13*100</f>
        <v>24.214822085051864</v>
      </c>
      <c r="L13" s="9">
        <f>((TINV(0.05,M13)*I13/M13^0.5))/D13*100</f>
        <v>13.326334485671312</v>
      </c>
      <c r="M13">
        <v>15</v>
      </c>
    </row>
    <row r="14" spans="1:13" x14ac:dyDescent="0.25">
      <c r="F14" s="4">
        <f>(F13-F12)/F12</f>
        <v>5.9939332659251686E-2</v>
      </c>
    </row>
    <row r="15" spans="1:13" x14ac:dyDescent="0.25">
      <c r="A15" t="s">
        <v>37</v>
      </c>
      <c r="B15" t="s">
        <v>38</v>
      </c>
    </row>
    <row r="16" spans="1:13" x14ac:dyDescent="0.25">
      <c r="A16" t="s">
        <v>39</v>
      </c>
      <c r="B16" t="s">
        <v>66</v>
      </c>
    </row>
    <row r="18" spans="1:4" x14ac:dyDescent="0.25">
      <c r="A18" t="s">
        <v>54</v>
      </c>
    </row>
    <row r="19" spans="1:4" x14ac:dyDescent="0.25">
      <c r="A19" s="13" t="s">
        <v>55</v>
      </c>
      <c r="B19" s="17" t="s">
        <v>56</v>
      </c>
      <c r="C19" s="14" t="s">
        <v>68</v>
      </c>
      <c r="D19" s="14" t="s">
        <v>69</v>
      </c>
    </row>
    <row r="20" spans="1:4" x14ac:dyDescent="0.25">
      <c r="A20" t="s">
        <v>15</v>
      </c>
      <c r="B20" s="18">
        <v>5.4</v>
      </c>
      <c r="C20" s="15">
        <v>3.2</v>
      </c>
      <c r="D20" s="15">
        <v>2.7</v>
      </c>
    </row>
    <row r="21" spans="1:4" x14ac:dyDescent="0.25">
      <c r="A21" s="13" t="s">
        <v>2</v>
      </c>
      <c r="B21" s="21">
        <v>2</v>
      </c>
      <c r="C21" s="14"/>
      <c r="D21" s="14"/>
    </row>
    <row r="22" spans="1:4" x14ac:dyDescent="0.25">
      <c r="A22" t="s">
        <v>58</v>
      </c>
      <c r="B22" s="18">
        <v>5.4</v>
      </c>
      <c r="C22" s="16">
        <v>3.2</v>
      </c>
      <c r="D22" s="16">
        <v>2.7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8529C2-2723-4489-BCB7-8718D24DD614}">
  <dimension ref="A1:M31"/>
  <sheetViews>
    <sheetView zoomScale="170" zoomScaleNormal="170" workbookViewId="0">
      <selection activeCell="C14" sqref="C14"/>
    </sheetView>
  </sheetViews>
  <sheetFormatPr defaultRowHeight="15" x14ac:dyDescent="0.25"/>
  <cols>
    <col min="2" max="2" width="10" customWidth="1"/>
    <col min="3" max="3" width="12.85546875" customWidth="1"/>
    <col min="4" max="4" width="10.28515625" customWidth="1"/>
    <col min="5" max="5" width="11" customWidth="1"/>
    <col min="6" max="7" width="10.140625" customWidth="1"/>
  </cols>
  <sheetData>
    <row r="1" spans="2:13" x14ac:dyDescent="0.25">
      <c r="B1" t="s">
        <v>47</v>
      </c>
    </row>
    <row r="2" spans="2:13" x14ac:dyDescent="0.25">
      <c r="B2" t="s">
        <v>48</v>
      </c>
      <c r="E2" s="1" t="s">
        <v>32</v>
      </c>
      <c r="F2" s="1" t="s">
        <v>34</v>
      </c>
      <c r="G2" t="s">
        <v>33</v>
      </c>
      <c r="I2" t="s">
        <v>16</v>
      </c>
      <c r="J2" t="s">
        <v>17</v>
      </c>
      <c r="L2" s="3"/>
    </row>
    <row r="3" spans="2:13" x14ac:dyDescent="0.25">
      <c r="B3" t="s">
        <v>27</v>
      </c>
      <c r="C3" t="s">
        <v>3</v>
      </c>
      <c r="D3" t="s">
        <v>5</v>
      </c>
      <c r="E3" s="2">
        <v>18.597999999999999</v>
      </c>
      <c r="F3" s="2">
        <v>14.964</v>
      </c>
      <c r="G3" s="2">
        <f>I3*$B$19</f>
        <v>19.858999999999998</v>
      </c>
      <c r="H3" s="2" t="s">
        <v>5</v>
      </c>
      <c r="I3">
        <v>0.7</v>
      </c>
    </row>
    <row r="4" spans="2:13" x14ac:dyDescent="0.25">
      <c r="B4" t="s">
        <v>28</v>
      </c>
      <c r="C4" t="s">
        <v>3</v>
      </c>
      <c r="D4" t="s">
        <v>5</v>
      </c>
      <c r="E4" s="2">
        <v>0.85</v>
      </c>
      <c r="F4" s="2">
        <v>1.0169999999999999</v>
      </c>
      <c r="G4" s="2">
        <f t="shared" ref="G4:G6" si="0">I4*$B$19</f>
        <v>2.8370000000000002</v>
      </c>
      <c r="H4" s="2"/>
      <c r="I4">
        <v>0.1</v>
      </c>
    </row>
    <row r="5" spans="2:13" x14ac:dyDescent="0.25">
      <c r="B5" t="s">
        <v>29</v>
      </c>
      <c r="C5" t="s">
        <v>3</v>
      </c>
      <c r="D5" t="s">
        <v>5</v>
      </c>
      <c r="E5" s="2">
        <v>54.212000000000003</v>
      </c>
      <c r="F5" s="2">
        <v>47.058999999999997</v>
      </c>
      <c r="G5" s="2">
        <f t="shared" si="0"/>
        <v>53.902999999999999</v>
      </c>
      <c r="H5" s="2"/>
      <c r="I5">
        <v>1.9</v>
      </c>
    </row>
    <row r="6" spans="2:13" x14ac:dyDescent="0.25">
      <c r="B6" t="s">
        <v>30</v>
      </c>
      <c r="C6" t="s">
        <v>3</v>
      </c>
      <c r="D6" t="s">
        <v>5</v>
      </c>
      <c r="E6" s="2">
        <v>15.75</v>
      </c>
      <c r="F6" s="2">
        <v>7.1529999999999996</v>
      </c>
      <c r="G6" s="2">
        <f t="shared" si="0"/>
        <v>34.043999999999997</v>
      </c>
      <c r="H6" s="2"/>
      <c r="I6">
        <v>1.2</v>
      </c>
    </row>
    <row r="7" spans="2:13" x14ac:dyDescent="0.25">
      <c r="D7" s="5" t="s">
        <v>25</v>
      </c>
      <c r="E7" s="6">
        <f>SUM(E3:E6)</f>
        <v>89.41</v>
      </c>
      <c r="F7" s="6">
        <f>SUM(F3:F6)</f>
        <v>70.192999999999998</v>
      </c>
      <c r="G7" s="6">
        <f>SUM(G3:G6)</f>
        <v>110.64299999999999</v>
      </c>
      <c r="H7" s="6" t="s">
        <v>5</v>
      </c>
    </row>
    <row r="8" spans="2:13" x14ac:dyDescent="0.25">
      <c r="B8" t="s">
        <v>27</v>
      </c>
      <c r="C8" t="s">
        <v>4</v>
      </c>
      <c r="D8" t="s">
        <v>6</v>
      </c>
      <c r="E8" s="2">
        <v>341.86</v>
      </c>
      <c r="F8" s="2">
        <v>354.64</v>
      </c>
      <c r="G8" s="2">
        <f>J8*$B$19</f>
        <v>390.39274683544306</v>
      </c>
      <c r="H8" s="2" t="s">
        <v>6</v>
      </c>
      <c r="J8" s="2">
        <f>3.1+12.3 -(I3*185)/79</f>
        <v>13.760759493670886</v>
      </c>
    </row>
    <row r="9" spans="2:13" x14ac:dyDescent="0.25">
      <c r="B9" t="s">
        <v>28</v>
      </c>
      <c r="C9" t="s">
        <v>4</v>
      </c>
      <c r="D9" t="s">
        <v>6</v>
      </c>
      <c r="E9" s="2">
        <v>75.61</v>
      </c>
      <c r="F9" s="2">
        <v>75.61</v>
      </c>
      <c r="G9" s="2">
        <f t="shared" ref="G9:G12" si="1">J9*$B$19</f>
        <v>89.814392405063302</v>
      </c>
      <c r="H9" s="2" t="s">
        <v>6</v>
      </c>
      <c r="J9" s="2">
        <f>0.2+3.2 -(I4*185)/79</f>
        <v>3.165822784810127</v>
      </c>
    </row>
    <row r="10" spans="2:13" x14ac:dyDescent="0.25">
      <c r="B10" t="s">
        <v>29</v>
      </c>
      <c r="C10" t="s">
        <v>4</v>
      </c>
      <c r="D10" t="s">
        <v>6</v>
      </c>
      <c r="E10" s="2">
        <v>124.6</v>
      </c>
      <c r="F10" s="2">
        <v>150.16</v>
      </c>
      <c r="G10" s="2">
        <f t="shared" si="1"/>
        <v>126.26445569620256</v>
      </c>
      <c r="H10" s="2"/>
      <c r="J10" s="2">
        <f>6.2+2.7 -(I5*185)/79</f>
        <v>4.4506329113924057</v>
      </c>
    </row>
    <row r="11" spans="2:13" x14ac:dyDescent="0.25">
      <c r="B11" t="s">
        <v>31</v>
      </c>
      <c r="C11" t="s">
        <v>4</v>
      </c>
      <c r="D11" t="s">
        <v>6</v>
      </c>
      <c r="E11" s="2">
        <v>6.39</v>
      </c>
      <c r="F11" s="2">
        <v>6.39</v>
      </c>
      <c r="G11" s="2">
        <f t="shared" si="1"/>
        <v>8.5109999999999992</v>
      </c>
      <c r="H11" s="2"/>
      <c r="J11" s="2">
        <v>0.3</v>
      </c>
    </row>
    <row r="12" spans="2:13" x14ac:dyDescent="0.25">
      <c r="B12" t="s">
        <v>30</v>
      </c>
      <c r="C12" t="s">
        <v>4</v>
      </c>
      <c r="D12" t="s">
        <v>6</v>
      </c>
      <c r="E12" s="2">
        <v>174.94</v>
      </c>
      <c r="F12" s="2">
        <v>198.62</v>
      </c>
      <c r="G12" s="2">
        <f t="shared" si="1"/>
        <v>167.09570886075949</v>
      </c>
      <c r="H12" s="2"/>
      <c r="J12" s="2">
        <f>8.7-(I6*185)/79</f>
        <v>5.8898734177215184</v>
      </c>
    </row>
    <row r="13" spans="2:13" x14ac:dyDescent="0.25">
      <c r="D13" s="5" t="s">
        <v>25</v>
      </c>
      <c r="E13" s="6">
        <f>SUM(E8:E12)</f>
        <v>723.40000000000009</v>
      </c>
      <c r="F13" s="6">
        <f>SUM(F8:F12)</f>
        <v>785.42</v>
      </c>
      <c r="G13" s="6">
        <f>SUM(G8:G12)</f>
        <v>782.07830379746838</v>
      </c>
      <c r="H13" s="6" t="s">
        <v>6</v>
      </c>
      <c r="J13" s="10">
        <f>SUM(J8:J12) + (SUM(I3:I6) * 185)/79</f>
        <v>36.699999999999996</v>
      </c>
    </row>
    <row r="14" spans="2:13" x14ac:dyDescent="0.25">
      <c r="E14" s="19">
        <f>(E7*2+E13)/$B$17</f>
        <v>31.768309859154932</v>
      </c>
      <c r="F14" s="19">
        <f>(F7*2+F13)/$B$17</f>
        <v>32.598802816901404</v>
      </c>
      <c r="G14" s="10">
        <f>(G7*185/79+G13)/B19</f>
        <v>36.700000000000003</v>
      </c>
      <c r="H14" s="2" t="s">
        <v>17</v>
      </c>
    </row>
    <row r="16" spans="2:13" x14ac:dyDescent="0.25">
      <c r="B16" t="s">
        <v>7</v>
      </c>
      <c r="C16" t="s">
        <v>8</v>
      </c>
      <c r="D16" t="s">
        <v>9</v>
      </c>
      <c r="E16" s="1" t="s">
        <v>24</v>
      </c>
      <c r="F16" s="5" t="s">
        <v>26</v>
      </c>
      <c r="G16" t="s">
        <v>23</v>
      </c>
      <c r="H16" s="7" t="s">
        <v>22</v>
      </c>
      <c r="I16" t="s">
        <v>10</v>
      </c>
      <c r="J16" t="s">
        <v>14</v>
      </c>
      <c r="K16" t="s">
        <v>11</v>
      </c>
      <c r="L16" s="5" t="s">
        <v>12</v>
      </c>
      <c r="M16" t="s">
        <v>13</v>
      </c>
    </row>
    <row r="17" spans="1:13" x14ac:dyDescent="0.25">
      <c r="A17" t="s">
        <v>19</v>
      </c>
      <c r="B17">
        <v>28.4</v>
      </c>
      <c r="C17">
        <v>124.5</v>
      </c>
      <c r="D17" s="19">
        <v>32.49</v>
      </c>
      <c r="E17" s="2">
        <f>TINV(0.05,M17-1)*(I17/M17^0.5)</f>
        <v>4.5678206066584179</v>
      </c>
      <c r="F17" s="6">
        <f>B17*D17</f>
        <v>922.71600000000001</v>
      </c>
      <c r="G17" s="2">
        <f>TINV(0.05,M17-1)*(I17/M17^0.5)*B17</f>
        <v>129.72610522909906</v>
      </c>
      <c r="H17" s="8">
        <f>G17/F17</f>
        <v>0.14059158530804611</v>
      </c>
      <c r="I17">
        <v>9.76</v>
      </c>
      <c r="J17">
        <v>95.28</v>
      </c>
      <c r="K17">
        <v>30.04</v>
      </c>
      <c r="L17" s="5">
        <v>13.43</v>
      </c>
      <c r="M17">
        <v>20</v>
      </c>
    </row>
    <row r="18" spans="1:13" x14ac:dyDescent="0.25">
      <c r="A18" t="s">
        <v>20</v>
      </c>
      <c r="B18">
        <v>28.4</v>
      </c>
      <c r="C18">
        <v>124.5</v>
      </c>
      <c r="D18" s="19">
        <v>32.49</v>
      </c>
      <c r="E18" s="2">
        <f t="shared" ref="E18" si="2">TINV(0.05,M18-1)*(I18/M18^0.5)</f>
        <v>4.5678206066584179</v>
      </c>
      <c r="F18" s="6">
        <f>B18*D18</f>
        <v>922.71600000000001</v>
      </c>
      <c r="G18" s="2">
        <f>TINV(0.05,M18-1)*(I18/M18^0.5)*B18</f>
        <v>129.72610522909906</v>
      </c>
      <c r="H18" s="8">
        <f t="shared" ref="H18:H19" si="3">G18/F18</f>
        <v>0.14059158530804611</v>
      </c>
      <c r="I18">
        <v>9.76</v>
      </c>
      <c r="J18">
        <v>95.28</v>
      </c>
      <c r="K18">
        <v>30.04</v>
      </c>
      <c r="L18" s="5">
        <v>13.43</v>
      </c>
      <c r="M18">
        <v>20</v>
      </c>
    </row>
    <row r="19" spans="1:13" x14ac:dyDescent="0.25">
      <c r="A19" t="s">
        <v>21</v>
      </c>
      <c r="B19">
        <v>28.37</v>
      </c>
      <c r="C19">
        <v>124.5</v>
      </c>
      <c r="D19" s="11">
        <v>37.700000000000003</v>
      </c>
      <c r="E19" s="2">
        <f>G19/B19</f>
        <v>4.2615438843849169</v>
      </c>
      <c r="F19" s="6">
        <f>B19*D19</f>
        <v>1069.5490000000002</v>
      </c>
      <c r="G19" s="2">
        <f>1070.4-949.5</f>
        <v>120.90000000000009</v>
      </c>
      <c r="H19" s="8">
        <f t="shared" si="3"/>
        <v>0.1130382993205548</v>
      </c>
      <c r="I19" s="3">
        <f>M19^0.5 * (E19/TINV(0.05,M19-1))</f>
        <v>9.1055827041386017</v>
      </c>
      <c r="J19" s="3">
        <f>I19^2</f>
        <v>82.911636381908053</v>
      </c>
      <c r="K19" s="3">
        <f>I19/D19*100</f>
        <v>24.152739268272153</v>
      </c>
      <c r="L19" s="9">
        <f>((TINV(0.05,M19)*I19/M19^0.5))/D19*100</f>
        <v>11.265697593257389</v>
      </c>
      <c r="M19">
        <v>20</v>
      </c>
    </row>
    <row r="20" spans="1:13" x14ac:dyDescent="0.25">
      <c r="F20" s="4">
        <f>(F19-F18)/F18</f>
        <v>0.15913130367306971</v>
      </c>
    </row>
    <row r="21" spans="1:13" x14ac:dyDescent="0.25">
      <c r="A21" t="s">
        <v>37</v>
      </c>
      <c r="B21" t="s">
        <v>38</v>
      </c>
    </row>
    <row r="22" spans="1:13" x14ac:dyDescent="0.25">
      <c r="A22" t="s">
        <v>39</v>
      </c>
      <c r="B22" t="s">
        <v>66</v>
      </c>
    </row>
    <row r="24" spans="1:13" x14ac:dyDescent="0.25">
      <c r="A24" t="s">
        <v>54</v>
      </c>
    </row>
    <row r="25" spans="1:13" x14ac:dyDescent="0.25">
      <c r="A25" s="13" t="s">
        <v>55</v>
      </c>
      <c r="B25" s="17" t="s">
        <v>56</v>
      </c>
      <c r="C25" s="14" t="s">
        <v>68</v>
      </c>
      <c r="D25" s="14" t="s">
        <v>69</v>
      </c>
    </row>
    <row r="26" spans="1:13" x14ac:dyDescent="0.25">
      <c r="A26" t="s">
        <v>27</v>
      </c>
      <c r="B26" s="18">
        <v>3.6</v>
      </c>
      <c r="C26" s="15">
        <v>1.7</v>
      </c>
      <c r="D26" s="15">
        <v>1.5</v>
      </c>
    </row>
    <row r="27" spans="1:13" x14ac:dyDescent="0.25">
      <c r="A27" t="s">
        <v>28</v>
      </c>
      <c r="B27" s="18">
        <v>2.7</v>
      </c>
      <c r="C27" s="16">
        <v>1</v>
      </c>
      <c r="D27" s="16">
        <v>1</v>
      </c>
    </row>
    <row r="28" spans="1:13" x14ac:dyDescent="0.25">
      <c r="A28" s="22" t="s">
        <v>29</v>
      </c>
      <c r="B28" s="22">
        <v>5.4</v>
      </c>
      <c r="C28" s="15">
        <v>2.9</v>
      </c>
      <c r="D28" s="15">
        <v>2.5</v>
      </c>
    </row>
    <row r="29" spans="1:13" x14ac:dyDescent="0.25">
      <c r="A29" t="s">
        <v>31</v>
      </c>
      <c r="B29" s="20">
        <v>5</v>
      </c>
      <c r="C29" s="15"/>
      <c r="D29" s="15"/>
    </row>
    <row r="30" spans="1:13" x14ac:dyDescent="0.25">
      <c r="A30" s="23" t="s">
        <v>61</v>
      </c>
      <c r="B30" s="17">
        <v>5.5</v>
      </c>
      <c r="C30" s="14">
        <v>1.9</v>
      </c>
      <c r="D30" s="14">
        <v>1.8</v>
      </c>
    </row>
    <row r="31" spans="1:13" x14ac:dyDescent="0.25">
      <c r="A31" t="s">
        <v>58</v>
      </c>
      <c r="B31" s="18">
        <v>4.2</v>
      </c>
      <c r="C31" s="15">
        <v>2.2999999999999998</v>
      </c>
      <c r="D31" s="15">
        <v>2.1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36116-9560-4A14-8151-E113D62204F3}">
  <dimension ref="A1:M29"/>
  <sheetViews>
    <sheetView zoomScale="170" zoomScaleNormal="170" workbookViewId="0">
      <selection activeCell="B18" sqref="B18"/>
    </sheetView>
  </sheetViews>
  <sheetFormatPr defaultRowHeight="15" x14ac:dyDescent="0.25"/>
  <cols>
    <col min="2" max="2" width="10" customWidth="1"/>
    <col min="4" max="4" width="10.28515625" customWidth="1"/>
    <col min="5" max="5" width="11" customWidth="1"/>
    <col min="6" max="7" width="10.140625" customWidth="1"/>
  </cols>
  <sheetData>
    <row r="1" spans="1:13" x14ac:dyDescent="0.25">
      <c r="B1" t="s">
        <v>49</v>
      </c>
    </row>
    <row r="2" spans="1:13" x14ac:dyDescent="0.25">
      <c r="E2" s="1" t="s">
        <v>32</v>
      </c>
      <c r="F2" t="s">
        <v>33</v>
      </c>
      <c r="H2" t="s">
        <v>16</v>
      </c>
      <c r="I2" t="s">
        <v>17</v>
      </c>
      <c r="K2" s="3"/>
    </row>
    <row r="3" spans="1:13" x14ac:dyDescent="0.25">
      <c r="B3" t="s">
        <v>35</v>
      </c>
      <c r="C3" t="s">
        <v>3</v>
      </c>
      <c r="D3" t="s">
        <v>5</v>
      </c>
      <c r="E3" s="2">
        <v>0.95699999999999996</v>
      </c>
      <c r="F3" s="2">
        <f>H3*$B$17</f>
        <v>1.1130000000000002</v>
      </c>
      <c r="G3" s="2" t="s">
        <v>5</v>
      </c>
      <c r="H3">
        <v>0.1</v>
      </c>
    </row>
    <row r="4" spans="1:13" x14ac:dyDescent="0.25">
      <c r="B4" t="s">
        <v>36</v>
      </c>
      <c r="C4" t="s">
        <v>3</v>
      </c>
      <c r="D4" t="s">
        <v>5</v>
      </c>
      <c r="E4" s="2">
        <v>11.356</v>
      </c>
      <c r="F4" s="2">
        <f>H4*$B$17</f>
        <v>16.695</v>
      </c>
      <c r="G4" s="2"/>
      <c r="H4">
        <v>1.5</v>
      </c>
    </row>
    <row r="5" spans="1:13" x14ac:dyDescent="0.25">
      <c r="B5" t="s">
        <v>28</v>
      </c>
      <c r="C5" t="s">
        <v>3</v>
      </c>
      <c r="D5" t="s">
        <v>5</v>
      </c>
      <c r="E5" s="2">
        <v>12.763999999999999</v>
      </c>
      <c r="F5" s="2">
        <f>H5*$B$17</f>
        <v>16.695</v>
      </c>
      <c r="G5" s="2"/>
      <c r="H5">
        <v>1.5</v>
      </c>
    </row>
    <row r="6" spans="1:13" x14ac:dyDescent="0.25">
      <c r="B6" t="s">
        <v>30</v>
      </c>
      <c r="C6" t="s">
        <v>3</v>
      </c>
      <c r="D6" t="s">
        <v>5</v>
      </c>
      <c r="E6" s="2">
        <v>1.651</v>
      </c>
      <c r="F6" s="2">
        <f>H6*$B$17</f>
        <v>2.2260000000000004</v>
      </c>
      <c r="G6" s="2"/>
      <c r="H6">
        <v>0.2</v>
      </c>
    </row>
    <row r="7" spans="1:13" x14ac:dyDescent="0.25">
      <c r="D7" s="5" t="s">
        <v>25</v>
      </c>
      <c r="E7" s="6">
        <f>SUM(E3:E6)</f>
        <v>26.727999999999998</v>
      </c>
      <c r="F7" s="6">
        <f>SUM(F3:F6)</f>
        <v>36.728999999999999</v>
      </c>
      <c r="G7" s="6" t="s">
        <v>5</v>
      </c>
    </row>
    <row r="8" spans="1:13" x14ac:dyDescent="0.25">
      <c r="B8" t="s">
        <v>35</v>
      </c>
      <c r="C8" t="s">
        <v>4</v>
      </c>
      <c r="D8" t="s">
        <v>6</v>
      </c>
      <c r="E8" s="2">
        <v>9.08</v>
      </c>
      <c r="F8" s="2">
        <f>I8*$B$17</f>
        <v>10.749607594936709</v>
      </c>
      <c r="G8" s="2" t="s">
        <v>6</v>
      </c>
      <c r="I8" s="2">
        <f>0.5+0.7 -(H3*185)/79</f>
        <v>0.96582278481012651</v>
      </c>
    </row>
    <row r="9" spans="1:13" x14ac:dyDescent="0.25">
      <c r="B9" t="s">
        <v>36</v>
      </c>
      <c r="C9" t="s">
        <v>4</v>
      </c>
      <c r="D9" t="s">
        <v>6</v>
      </c>
      <c r="E9" s="2">
        <v>27.75</v>
      </c>
      <c r="F9" s="2">
        <f>I9*$B$17</f>
        <v>21.006113924050638</v>
      </c>
      <c r="G9" s="2" t="s">
        <v>6</v>
      </c>
      <c r="I9" s="2">
        <f>5.4 -(H4*185)/79</f>
        <v>1.887341772151899</v>
      </c>
    </row>
    <row r="10" spans="1:13" x14ac:dyDescent="0.25">
      <c r="B10" t="s">
        <v>28</v>
      </c>
      <c r="C10" t="s">
        <v>4</v>
      </c>
      <c r="D10" t="s">
        <v>6</v>
      </c>
      <c r="E10" s="2">
        <v>120.59</v>
      </c>
      <c r="F10" s="2">
        <f>I10*$B$17</f>
        <v>113.38511392405063</v>
      </c>
      <c r="G10" s="2"/>
      <c r="I10" s="2">
        <f>10.2+3.5 -(H5*185)/79</f>
        <v>10.187341772151898</v>
      </c>
    </row>
    <row r="11" spans="1:13" x14ac:dyDescent="0.25">
      <c r="B11" t="s">
        <v>30</v>
      </c>
      <c r="C11" t="s">
        <v>4</v>
      </c>
      <c r="D11" t="s">
        <v>6</v>
      </c>
      <c r="E11" s="2">
        <v>7.5</v>
      </c>
      <c r="F11" s="2">
        <f>I11*$B$17</f>
        <v>8.143215189873418</v>
      </c>
      <c r="G11" s="2"/>
      <c r="I11" s="2">
        <f>1.2-(H6*185)/79</f>
        <v>0.73164556962025307</v>
      </c>
    </row>
    <row r="12" spans="1:13" x14ac:dyDescent="0.25">
      <c r="D12" s="5" t="s">
        <v>25</v>
      </c>
      <c r="E12" s="6">
        <f>SUM(E8:E11)</f>
        <v>164.92000000000002</v>
      </c>
      <c r="F12" s="6">
        <f>SUM(F8:F11)</f>
        <v>153.2840506329114</v>
      </c>
      <c r="G12" s="6" t="s">
        <v>6</v>
      </c>
      <c r="I12" s="10">
        <f>SUM(I8:I11) + (SUM(H3:H6) * 185)/79</f>
        <v>21.5</v>
      </c>
    </row>
    <row r="13" spans="1:13" x14ac:dyDescent="0.25">
      <c r="E13" s="19">
        <f>(E7*2+E12)/$B$17</f>
        <v>19.620485175202155</v>
      </c>
      <c r="F13" s="10">
        <f>(F7*185/79+F12)/B17</f>
        <v>21.5</v>
      </c>
      <c r="G13" s="2" t="s">
        <v>17</v>
      </c>
    </row>
    <row r="15" spans="1:13" x14ac:dyDescent="0.25">
      <c r="B15" t="s">
        <v>7</v>
      </c>
      <c r="C15" t="s">
        <v>8</v>
      </c>
      <c r="D15" t="s">
        <v>9</v>
      </c>
      <c r="E15" s="1" t="s">
        <v>24</v>
      </c>
      <c r="F15" s="5" t="s">
        <v>26</v>
      </c>
      <c r="G15" t="s">
        <v>23</v>
      </c>
      <c r="H15" s="7" t="s">
        <v>22</v>
      </c>
      <c r="I15" t="s">
        <v>10</v>
      </c>
      <c r="J15" t="s">
        <v>14</v>
      </c>
      <c r="K15" t="s">
        <v>11</v>
      </c>
      <c r="L15" s="5" t="s">
        <v>12</v>
      </c>
      <c r="M15" t="s">
        <v>13</v>
      </c>
    </row>
    <row r="16" spans="1:13" x14ac:dyDescent="0.25">
      <c r="A16" t="s">
        <v>19</v>
      </c>
      <c r="B16">
        <v>11.1</v>
      </c>
      <c r="C16">
        <v>60</v>
      </c>
      <c r="D16" s="19">
        <v>20.149999999999999</v>
      </c>
      <c r="E16" s="2">
        <f>TINV(0.05,M16-1)*(I16/M16^0.5)</f>
        <v>6.7248095030950452</v>
      </c>
      <c r="F16" s="6">
        <f>B16*D16</f>
        <v>223.66499999999996</v>
      </c>
      <c r="G16" s="2">
        <f>TINV(0.05,M16-1)*(I16/M16^0.5)*B16</f>
        <v>74.645385484355003</v>
      </c>
      <c r="H16" s="8">
        <f>G16/F16</f>
        <v>0.33373744432233482</v>
      </c>
      <c r="I16">
        <v>10.01</v>
      </c>
      <c r="J16">
        <v>100.25</v>
      </c>
      <c r="K16">
        <v>49.7</v>
      </c>
      <c r="L16" s="5">
        <v>29.97</v>
      </c>
      <c r="M16">
        <v>11</v>
      </c>
    </row>
    <row r="17" spans="1:13" x14ac:dyDescent="0.25">
      <c r="A17" t="s">
        <v>21</v>
      </c>
      <c r="B17">
        <v>11.13</v>
      </c>
      <c r="C17">
        <v>60</v>
      </c>
      <c r="D17" s="11">
        <v>23.7</v>
      </c>
      <c r="E17" s="2">
        <f>G17/B17</f>
        <v>8.3198562443845478</v>
      </c>
      <c r="F17" s="6">
        <f>B17*D17</f>
        <v>263.78100000000001</v>
      </c>
      <c r="G17" s="2">
        <f>264.1-171.5</f>
        <v>92.600000000000023</v>
      </c>
      <c r="H17" s="8">
        <f t="shared" ref="H17" si="0">G17/F17</f>
        <v>0.3510487866828923</v>
      </c>
      <c r="I17" s="3">
        <f>M17^0.5 * (E17/TINV(0.05,M17-1))</f>
        <v>12.384255787165344</v>
      </c>
      <c r="J17" s="3">
        <f>I17^2</f>
        <v>153.36979140193833</v>
      </c>
      <c r="K17" s="3">
        <f>I17/D17*100</f>
        <v>52.25424382770187</v>
      </c>
      <c r="L17" s="9">
        <f>((TINV(0.05,M17)*I17/M17^0.5))/D17*100</f>
        <v>34.677065536936333</v>
      </c>
      <c r="M17">
        <v>11</v>
      </c>
    </row>
    <row r="18" spans="1:13" x14ac:dyDescent="0.25">
      <c r="F18" s="4">
        <f>(F17-F16)/F16</f>
        <v>0.17935752129300539</v>
      </c>
    </row>
    <row r="20" spans="1:13" x14ac:dyDescent="0.25">
      <c r="A20" t="s">
        <v>37</v>
      </c>
      <c r="B20" t="s">
        <v>38</v>
      </c>
    </row>
    <row r="21" spans="1:13" x14ac:dyDescent="0.25">
      <c r="A21" t="s">
        <v>39</v>
      </c>
      <c r="B21" t="s">
        <v>65</v>
      </c>
    </row>
    <row r="23" spans="1:13" x14ac:dyDescent="0.25">
      <c r="A23" t="s">
        <v>54</v>
      </c>
    </row>
    <row r="24" spans="1:13" x14ac:dyDescent="0.25">
      <c r="A24" s="13" t="s">
        <v>55</v>
      </c>
      <c r="B24" s="17" t="s">
        <v>56</v>
      </c>
      <c r="C24" s="14" t="s">
        <v>68</v>
      </c>
      <c r="D24" s="15"/>
    </row>
    <row r="25" spans="1:13" x14ac:dyDescent="0.25">
      <c r="A25" t="s">
        <v>35</v>
      </c>
      <c r="B25" s="18">
        <v>3.4</v>
      </c>
      <c r="C25" s="16">
        <v>3</v>
      </c>
      <c r="D25" s="2"/>
    </row>
    <row r="26" spans="1:13" x14ac:dyDescent="0.25">
      <c r="A26" s="22" t="s">
        <v>36</v>
      </c>
      <c r="B26" s="22">
        <v>6.8</v>
      </c>
      <c r="C26" s="15">
        <v>3.3</v>
      </c>
    </row>
    <row r="27" spans="1:13" x14ac:dyDescent="0.25">
      <c r="A27" t="s">
        <v>28</v>
      </c>
      <c r="B27" s="20">
        <v>5.6</v>
      </c>
      <c r="C27" s="15">
        <v>1.9</v>
      </c>
    </row>
    <row r="28" spans="1:13" x14ac:dyDescent="0.25">
      <c r="A28" s="23" t="s">
        <v>61</v>
      </c>
      <c r="B28" s="17">
        <v>7</v>
      </c>
      <c r="C28" s="14">
        <v>1.7</v>
      </c>
    </row>
    <row r="29" spans="1:13" x14ac:dyDescent="0.25">
      <c r="A29" t="s">
        <v>58</v>
      </c>
      <c r="B29" s="18">
        <v>5.7</v>
      </c>
      <c r="C29" s="15">
        <v>2.2999999999999998</v>
      </c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166ACF-58CF-4707-836F-9DC14CEAE953}">
  <dimension ref="A1:M25"/>
  <sheetViews>
    <sheetView zoomScale="170" zoomScaleNormal="170" workbookViewId="0">
      <selection activeCell="A14" sqref="A14"/>
    </sheetView>
  </sheetViews>
  <sheetFormatPr defaultRowHeight="15" x14ac:dyDescent="0.25"/>
  <cols>
    <col min="1" max="1" width="9.42578125" customWidth="1"/>
    <col min="2" max="2" width="13" customWidth="1"/>
    <col min="5" max="5" width="10.28515625" customWidth="1"/>
    <col min="6" max="6" width="10.140625" customWidth="1"/>
  </cols>
  <sheetData>
    <row r="1" spans="1:13" x14ac:dyDescent="0.25">
      <c r="B1" t="s">
        <v>50</v>
      </c>
    </row>
    <row r="2" spans="1:13" x14ac:dyDescent="0.25">
      <c r="E2" s="1" t="s">
        <v>34</v>
      </c>
      <c r="F2" t="s">
        <v>33</v>
      </c>
      <c r="H2" t="s">
        <v>16</v>
      </c>
      <c r="I2" t="s">
        <v>17</v>
      </c>
      <c r="K2" s="3"/>
    </row>
    <row r="3" spans="1:13" x14ac:dyDescent="0.25">
      <c r="B3" t="s">
        <v>27</v>
      </c>
      <c r="C3" t="s">
        <v>4</v>
      </c>
      <c r="D3" t="s">
        <v>6</v>
      </c>
      <c r="E3" s="2">
        <v>7.05</v>
      </c>
      <c r="F3" s="2">
        <f>I3*$B$13</f>
        <v>6.7</v>
      </c>
      <c r="G3" s="2" t="s">
        <v>6</v>
      </c>
      <c r="I3">
        <v>0.2</v>
      </c>
      <c r="K3" s="3"/>
    </row>
    <row r="4" spans="1:13" x14ac:dyDescent="0.25">
      <c r="B4" t="s">
        <v>1</v>
      </c>
      <c r="C4" t="s">
        <v>4</v>
      </c>
      <c r="D4" t="s">
        <v>6</v>
      </c>
      <c r="E4" s="2">
        <v>7.48</v>
      </c>
      <c r="F4" s="2">
        <f>I4*$B$13</f>
        <v>6.7</v>
      </c>
      <c r="G4" s="2" t="s">
        <v>6</v>
      </c>
      <c r="I4">
        <v>0.2</v>
      </c>
    </row>
    <row r="5" spans="1:13" x14ac:dyDescent="0.25">
      <c r="B5" t="s">
        <v>40</v>
      </c>
      <c r="C5" t="s">
        <v>4</v>
      </c>
      <c r="D5" t="s">
        <v>6</v>
      </c>
      <c r="E5" s="2">
        <v>162.88</v>
      </c>
      <c r="F5" s="2">
        <f>I5*$B$13</f>
        <v>150.75</v>
      </c>
      <c r="G5" s="2" t="s">
        <v>6</v>
      </c>
      <c r="I5" s="2">
        <v>4.5</v>
      </c>
    </row>
    <row r="6" spans="1:13" x14ac:dyDescent="0.25">
      <c r="B6" t="s">
        <v>15</v>
      </c>
      <c r="C6" t="s">
        <v>4</v>
      </c>
      <c r="D6" t="s">
        <v>6</v>
      </c>
      <c r="E6" s="2">
        <v>115.24</v>
      </c>
      <c r="F6" s="2">
        <f>I6*$B$13</f>
        <v>103.85000000000001</v>
      </c>
      <c r="G6" s="2" t="s">
        <v>6</v>
      </c>
      <c r="I6">
        <v>3.1</v>
      </c>
    </row>
    <row r="7" spans="1:13" x14ac:dyDescent="0.25">
      <c r="B7" t="s">
        <v>0</v>
      </c>
      <c r="C7" t="s">
        <v>4</v>
      </c>
      <c r="D7" t="s">
        <v>6</v>
      </c>
      <c r="E7" s="2">
        <v>680.58</v>
      </c>
      <c r="F7" s="2">
        <f>I7*$B$13</f>
        <v>670</v>
      </c>
      <c r="G7" s="2" t="s">
        <v>6</v>
      </c>
      <c r="I7" s="2">
        <v>20</v>
      </c>
    </row>
    <row r="8" spans="1:13" x14ac:dyDescent="0.25">
      <c r="D8" s="5" t="s">
        <v>25</v>
      </c>
      <c r="E8" s="6">
        <f>SUM(E4:E7)</f>
        <v>966.18000000000006</v>
      </c>
      <c r="F8" s="6">
        <f>SUM(F4:F7)</f>
        <v>931.3</v>
      </c>
      <c r="G8" s="6" t="s">
        <v>6</v>
      </c>
      <c r="I8" s="10">
        <f>SUM(I4:I7)</f>
        <v>27.8</v>
      </c>
    </row>
    <row r="9" spans="1:13" x14ac:dyDescent="0.25">
      <c r="E9" s="19">
        <f>E8/B12</f>
        <v>28.841194029850747</v>
      </c>
      <c r="F9" s="11">
        <f>F8/B13</f>
        <v>27.799999999999997</v>
      </c>
      <c r="G9" s="2" t="s">
        <v>17</v>
      </c>
    </row>
    <row r="11" spans="1:13" ht="28.9" customHeight="1" x14ac:dyDescent="0.25">
      <c r="B11" t="s">
        <v>7</v>
      </c>
      <c r="C11" t="s">
        <v>8</v>
      </c>
      <c r="D11" t="s">
        <v>9</v>
      </c>
      <c r="E11" s="1" t="s">
        <v>24</v>
      </c>
      <c r="F11" s="5" t="s">
        <v>26</v>
      </c>
      <c r="G11" t="s">
        <v>23</v>
      </c>
      <c r="H11" s="7" t="s">
        <v>22</v>
      </c>
      <c r="I11" t="s">
        <v>10</v>
      </c>
      <c r="J11" t="s">
        <v>14</v>
      </c>
      <c r="K11" t="s">
        <v>11</v>
      </c>
      <c r="L11" s="12" t="s">
        <v>12</v>
      </c>
      <c r="M11" t="s">
        <v>13</v>
      </c>
    </row>
    <row r="12" spans="1:13" x14ac:dyDescent="0.25">
      <c r="A12" t="s">
        <v>20</v>
      </c>
      <c r="B12" s="2">
        <v>33.5</v>
      </c>
      <c r="C12">
        <v>106.32</v>
      </c>
      <c r="D12" s="19">
        <v>29.05</v>
      </c>
      <c r="E12" s="2">
        <f t="shared" ref="E12" si="0">TINV(0.05,M12-1)*(I12/M12^0.5)</f>
        <v>6.6658466261509526</v>
      </c>
      <c r="F12" s="6">
        <f>B12*D12</f>
        <v>973.17500000000007</v>
      </c>
      <c r="G12" s="2">
        <f>TINV(0.05,M12-1)*(I12/M12^0.5)*B12</f>
        <v>223.30586197605692</v>
      </c>
      <c r="H12" s="8">
        <f t="shared" ref="H12:H13" si="1">G12/F12</f>
        <v>0.22946115752671092</v>
      </c>
      <c r="I12">
        <v>13.83</v>
      </c>
      <c r="J12" s="3">
        <v>191.23</v>
      </c>
      <c r="K12" s="3">
        <v>47.6</v>
      </c>
      <c r="L12" s="5">
        <v>21.84</v>
      </c>
      <c r="M12">
        <v>19</v>
      </c>
    </row>
    <row r="13" spans="1:13" x14ac:dyDescent="0.25">
      <c r="A13" t="s">
        <v>21</v>
      </c>
      <c r="B13">
        <v>33.5</v>
      </c>
      <c r="C13">
        <v>106.3</v>
      </c>
      <c r="D13" s="11">
        <v>27.2</v>
      </c>
      <c r="E13" s="2">
        <f>G13/B13</f>
        <v>5.6955223880597039</v>
      </c>
      <c r="F13" s="6">
        <f>B13*D13</f>
        <v>911.19999999999993</v>
      </c>
      <c r="G13" s="2">
        <f>910.7-719.9</f>
        <v>190.80000000000007</v>
      </c>
      <c r="H13" s="8">
        <f t="shared" si="1"/>
        <v>0.20939420544337148</v>
      </c>
      <c r="I13" s="3">
        <f>M13^0.5 * (E13/TINV(0.05,M13-1))</f>
        <v>11.816814734057148</v>
      </c>
      <c r="J13" s="3">
        <f>I13^2</f>
        <v>139.63711045903011</v>
      </c>
      <c r="K13" s="3">
        <f>I13/D13*100</f>
        <v>43.444171816386572</v>
      </c>
      <c r="L13" s="9">
        <f>((TINV(0.05,M13)*I13/M13^0.5))/D13*100</f>
        <v>20.860703084271027</v>
      </c>
      <c r="M13">
        <v>19</v>
      </c>
    </row>
    <row r="14" spans="1:13" x14ac:dyDescent="0.25">
      <c r="F14" s="4">
        <f>(F13-F12)/F12</f>
        <v>-6.368330464716021E-2</v>
      </c>
    </row>
    <row r="15" spans="1:13" x14ac:dyDescent="0.25">
      <c r="A15" t="s">
        <v>37</v>
      </c>
      <c r="B15" t="s">
        <v>38</v>
      </c>
    </row>
    <row r="16" spans="1:13" x14ac:dyDescent="0.25">
      <c r="A16" t="s">
        <v>39</v>
      </c>
      <c r="B16" t="s">
        <v>59</v>
      </c>
    </row>
    <row r="18" spans="1:2" x14ac:dyDescent="0.25">
      <c r="A18" t="s">
        <v>54</v>
      </c>
    </row>
    <row r="19" spans="1:2" x14ac:dyDescent="0.25">
      <c r="A19" s="13" t="s">
        <v>55</v>
      </c>
      <c r="B19" s="14" t="s">
        <v>56</v>
      </c>
    </row>
    <row r="20" spans="1:2" x14ac:dyDescent="0.25">
      <c r="A20" t="s">
        <v>27</v>
      </c>
      <c r="B20" s="15">
        <v>1</v>
      </c>
    </row>
    <row r="21" spans="1:2" x14ac:dyDescent="0.25">
      <c r="A21" t="s">
        <v>60</v>
      </c>
      <c r="B21" s="15">
        <v>3</v>
      </c>
    </row>
    <row r="22" spans="1:2" x14ac:dyDescent="0.25">
      <c r="A22" t="s">
        <v>40</v>
      </c>
      <c r="B22" s="15">
        <v>5.6</v>
      </c>
    </row>
    <row r="23" spans="1:2" x14ac:dyDescent="0.25">
      <c r="A23" t="s">
        <v>15</v>
      </c>
      <c r="B23" s="15">
        <v>5.5</v>
      </c>
    </row>
    <row r="24" spans="1:2" x14ac:dyDescent="0.25">
      <c r="A24" s="13" t="s">
        <v>0</v>
      </c>
      <c r="B24" s="14">
        <v>4.2</v>
      </c>
    </row>
    <row r="25" spans="1:2" x14ac:dyDescent="0.25">
      <c r="A25" t="s">
        <v>58</v>
      </c>
      <c r="B25" s="15">
        <v>4.5</v>
      </c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2B002-6EDC-46BA-BD9B-83A26D254728}">
  <dimension ref="A1:M25"/>
  <sheetViews>
    <sheetView zoomScale="170" zoomScaleNormal="170" workbookViewId="0">
      <selection activeCell="A15" sqref="A15"/>
    </sheetView>
  </sheetViews>
  <sheetFormatPr defaultRowHeight="15" x14ac:dyDescent="0.25"/>
  <cols>
    <col min="1" max="1" width="11.7109375" customWidth="1"/>
    <col min="2" max="2" width="14.28515625" customWidth="1"/>
    <col min="5" max="5" width="9.85546875" customWidth="1"/>
    <col min="6" max="6" width="10.85546875" customWidth="1"/>
  </cols>
  <sheetData>
    <row r="1" spans="1:13" x14ac:dyDescent="0.25">
      <c r="B1" t="s">
        <v>51</v>
      </c>
    </row>
    <row r="2" spans="1:13" x14ac:dyDescent="0.25">
      <c r="E2" s="1" t="s">
        <v>34</v>
      </c>
      <c r="F2" t="s">
        <v>33</v>
      </c>
      <c r="H2" t="s">
        <v>16</v>
      </c>
      <c r="I2" t="s">
        <v>17</v>
      </c>
      <c r="K2" s="3"/>
    </row>
    <row r="3" spans="1:13" x14ac:dyDescent="0.25">
      <c r="B3" t="s">
        <v>27</v>
      </c>
      <c r="C3" t="s">
        <v>3</v>
      </c>
      <c r="D3" t="s">
        <v>5</v>
      </c>
      <c r="E3" s="2">
        <v>2.81</v>
      </c>
      <c r="F3" s="2">
        <f>H3*$B$14</f>
        <v>2.79</v>
      </c>
      <c r="G3" s="2" t="s">
        <v>5</v>
      </c>
      <c r="H3">
        <v>0.1</v>
      </c>
    </row>
    <row r="4" spans="1:13" x14ac:dyDescent="0.25">
      <c r="D4" s="5" t="s">
        <v>25</v>
      </c>
      <c r="E4" s="6">
        <f t="shared" ref="E4" si="0">SUM(E3)</f>
        <v>2.81</v>
      </c>
      <c r="F4" s="6">
        <f>SUM(F3)</f>
        <v>2.79</v>
      </c>
      <c r="G4" s="6" t="s">
        <v>5</v>
      </c>
    </row>
    <row r="5" spans="1:13" x14ac:dyDescent="0.25">
      <c r="B5" t="s">
        <v>27</v>
      </c>
      <c r="C5" t="s">
        <v>4</v>
      </c>
      <c r="D5" t="s">
        <v>6</v>
      </c>
      <c r="E5" s="2">
        <v>154.18</v>
      </c>
      <c r="F5" s="2">
        <f>I5*$B$14</f>
        <v>85.536455696202523</v>
      </c>
      <c r="G5" s="2" t="s">
        <v>6</v>
      </c>
      <c r="I5" s="2">
        <f>0.9 + 2.4 - (H3*185)/79</f>
        <v>3.0658227848101265</v>
      </c>
    </row>
    <row r="6" spans="1:13" x14ac:dyDescent="0.25">
      <c r="B6" t="s">
        <v>1</v>
      </c>
      <c r="C6" t="s">
        <v>4</v>
      </c>
      <c r="D6" t="s">
        <v>6</v>
      </c>
      <c r="E6" s="2">
        <v>61.99</v>
      </c>
      <c r="F6" s="2">
        <f t="shared" ref="F6:F8" si="1">I6*$B$14</f>
        <v>64.169999999999987</v>
      </c>
      <c r="G6" s="2" t="s">
        <v>6</v>
      </c>
      <c r="I6">
        <v>2.2999999999999998</v>
      </c>
    </row>
    <row r="7" spans="1:13" x14ac:dyDescent="0.25">
      <c r="B7" t="s">
        <v>41</v>
      </c>
      <c r="C7" t="s">
        <v>4</v>
      </c>
      <c r="D7" t="s">
        <v>6</v>
      </c>
      <c r="E7" s="2">
        <v>62.01</v>
      </c>
      <c r="F7" s="2">
        <f t="shared" si="1"/>
        <v>61.38</v>
      </c>
      <c r="G7" s="2" t="s">
        <v>6</v>
      </c>
      <c r="I7">
        <v>2.2000000000000002</v>
      </c>
    </row>
    <row r="8" spans="1:13" x14ac:dyDescent="0.25">
      <c r="B8" t="s">
        <v>15</v>
      </c>
      <c r="C8" t="s">
        <v>4</v>
      </c>
      <c r="D8" t="s">
        <v>6</v>
      </c>
      <c r="E8" s="2">
        <v>1098.8599999999999</v>
      </c>
      <c r="F8" s="2">
        <f t="shared" si="1"/>
        <v>1171.8</v>
      </c>
      <c r="G8" s="2" t="s">
        <v>6</v>
      </c>
      <c r="I8">
        <v>42</v>
      </c>
    </row>
    <row r="9" spans="1:13" x14ac:dyDescent="0.25">
      <c r="D9" s="5" t="s">
        <v>25</v>
      </c>
      <c r="E9" s="6">
        <f>SUM(E5:E8)</f>
        <v>1377.04</v>
      </c>
      <c r="F9" s="6">
        <f>SUM(F5:F8)</f>
        <v>1382.8864556962026</v>
      </c>
      <c r="G9" s="6" t="s">
        <v>6</v>
      </c>
      <c r="I9" s="11">
        <f>SUM(I5:I8)  + H3*185/79</f>
        <v>49.8</v>
      </c>
    </row>
    <row r="10" spans="1:13" x14ac:dyDescent="0.25">
      <c r="E10" s="19">
        <f>(E4*2+E9)/$B$14</f>
        <v>49.557706093189964</v>
      </c>
      <c r="F10" s="11">
        <f>(F4*185/79+F9)/B14</f>
        <v>49.800000000000004</v>
      </c>
      <c r="G10" s="2" t="s">
        <v>17</v>
      </c>
    </row>
    <row r="12" spans="1:13" x14ac:dyDescent="0.25">
      <c r="B12" t="s">
        <v>7</v>
      </c>
      <c r="C12" t="s">
        <v>8</v>
      </c>
      <c r="D12" t="s">
        <v>9</v>
      </c>
      <c r="E12" s="1" t="s">
        <v>24</v>
      </c>
      <c r="F12" s="5" t="s">
        <v>26</v>
      </c>
      <c r="G12" t="s">
        <v>23</v>
      </c>
      <c r="H12" s="7" t="s">
        <v>22</v>
      </c>
      <c r="I12" t="s">
        <v>10</v>
      </c>
      <c r="J12" t="s">
        <v>14</v>
      </c>
      <c r="K12" t="s">
        <v>11</v>
      </c>
      <c r="L12" s="5" t="s">
        <v>12</v>
      </c>
      <c r="M12" t="s">
        <v>13</v>
      </c>
    </row>
    <row r="13" spans="1:13" x14ac:dyDescent="0.25">
      <c r="A13" t="s">
        <v>20</v>
      </c>
      <c r="B13">
        <v>27.9</v>
      </c>
      <c r="C13">
        <v>142</v>
      </c>
      <c r="D13" s="19">
        <v>49.57</v>
      </c>
      <c r="E13" s="2">
        <f t="shared" ref="E13" si="2">TINV(0.05,M13-1)*(I13/M13^0.5)</f>
        <v>8.5793253756678922</v>
      </c>
      <c r="F13" s="6">
        <f>B13*D13</f>
        <v>1383.0029999999999</v>
      </c>
      <c r="G13" s="2">
        <f>TINV(0.05,M13-1)*(I13/M13^0.5)*B13</f>
        <v>239.36317798113419</v>
      </c>
      <c r="H13" s="8">
        <f t="shared" ref="H13:H14" si="3">G13/F13</f>
        <v>0.17307495210143015</v>
      </c>
      <c r="I13" s="3">
        <v>17.8</v>
      </c>
      <c r="J13">
        <v>316.98</v>
      </c>
      <c r="K13">
        <v>35.92</v>
      </c>
      <c r="L13" s="5">
        <v>16.48</v>
      </c>
      <c r="M13">
        <v>19</v>
      </c>
    </row>
    <row r="14" spans="1:13" x14ac:dyDescent="0.25">
      <c r="A14" t="s">
        <v>21</v>
      </c>
      <c r="B14">
        <v>27.9</v>
      </c>
      <c r="C14">
        <v>142.1</v>
      </c>
      <c r="D14" s="11">
        <v>51.7</v>
      </c>
      <c r="E14" s="2">
        <f>G14/B14</f>
        <v>8.1003584229390686</v>
      </c>
      <c r="F14" s="6">
        <f>B14*D14</f>
        <v>1442.43</v>
      </c>
      <c r="G14" s="2">
        <f>1444.1-1218.1</f>
        <v>226</v>
      </c>
      <c r="H14" s="8">
        <f t="shared" si="3"/>
        <v>0.15668004686535913</v>
      </c>
      <c r="I14" s="3">
        <f>M14^0.5 * (E14/TINV(0.05,M14-1))</f>
        <v>16.806260820605679</v>
      </c>
      <c r="J14" s="3">
        <f>I14^2</f>
        <v>282.45040277022548</v>
      </c>
      <c r="K14" s="3">
        <f>I14/D14*100</f>
        <v>32.507274314517751</v>
      </c>
      <c r="L14" s="9">
        <f>((TINV(0.05,M14)*I14/M14^0.5))/D14*100</f>
        <v>15.609104034026608</v>
      </c>
      <c r="M14">
        <v>19</v>
      </c>
    </row>
    <row r="15" spans="1:13" x14ac:dyDescent="0.25">
      <c r="F15" s="4">
        <f>(F14-F13)/F13</f>
        <v>4.2969538027032579E-2</v>
      </c>
    </row>
    <row r="16" spans="1:13" x14ac:dyDescent="0.25">
      <c r="A16" t="s">
        <v>37</v>
      </c>
      <c r="B16" t="s">
        <v>38</v>
      </c>
    </row>
    <row r="17" spans="1:3" x14ac:dyDescent="0.25">
      <c r="A17" t="s">
        <v>39</v>
      </c>
      <c r="B17" t="s">
        <v>64</v>
      </c>
    </row>
    <row r="19" spans="1:3" x14ac:dyDescent="0.25">
      <c r="A19" t="s">
        <v>54</v>
      </c>
    </row>
    <row r="20" spans="1:3" x14ac:dyDescent="0.25">
      <c r="A20" s="13" t="s">
        <v>55</v>
      </c>
      <c r="B20" s="17" t="s">
        <v>56</v>
      </c>
      <c r="C20" s="14" t="s">
        <v>57</v>
      </c>
    </row>
    <row r="21" spans="1:3" x14ac:dyDescent="0.25">
      <c r="A21" t="s">
        <v>27</v>
      </c>
      <c r="B21" s="18">
        <v>5.0999999999999996</v>
      </c>
      <c r="C21" s="16">
        <v>1</v>
      </c>
    </row>
    <row r="22" spans="1:3" x14ac:dyDescent="0.25">
      <c r="A22" t="s">
        <v>60</v>
      </c>
      <c r="B22" s="18">
        <v>6.2</v>
      </c>
      <c r="C22" s="15"/>
    </row>
    <row r="23" spans="1:3" x14ac:dyDescent="0.25">
      <c r="A23" t="s">
        <v>61</v>
      </c>
      <c r="B23" s="18">
        <v>6.2</v>
      </c>
      <c r="C23" s="15"/>
    </row>
    <row r="24" spans="1:3" x14ac:dyDescent="0.25">
      <c r="A24" s="13" t="s">
        <v>15</v>
      </c>
      <c r="B24" s="17">
        <v>6.5</v>
      </c>
      <c r="C24" s="14"/>
    </row>
    <row r="25" spans="1:3" x14ac:dyDescent="0.25">
      <c r="A25" t="s">
        <v>58</v>
      </c>
      <c r="B25" s="18">
        <v>6.2</v>
      </c>
      <c r="C25" s="16">
        <v>1</v>
      </c>
    </row>
  </sheetData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FDD5ED-2628-4A33-874F-AA82ECE229CE}">
  <dimension ref="A1:M25"/>
  <sheetViews>
    <sheetView zoomScale="170" zoomScaleNormal="170" workbookViewId="0">
      <selection activeCell="A14" sqref="A14"/>
    </sheetView>
  </sheetViews>
  <sheetFormatPr defaultRowHeight="15" x14ac:dyDescent="0.25"/>
  <cols>
    <col min="1" max="1" width="11.140625" customWidth="1"/>
    <col min="2" max="2" width="13" customWidth="1"/>
  </cols>
  <sheetData>
    <row r="1" spans="1:13" x14ac:dyDescent="0.25">
      <c r="B1" t="s">
        <v>52</v>
      </c>
    </row>
    <row r="2" spans="1:13" x14ac:dyDescent="0.25">
      <c r="E2" s="1" t="s">
        <v>34</v>
      </c>
      <c r="F2" t="s">
        <v>33</v>
      </c>
      <c r="H2" t="s">
        <v>16</v>
      </c>
      <c r="I2" t="s">
        <v>17</v>
      </c>
      <c r="K2" s="3"/>
    </row>
    <row r="3" spans="1:13" x14ac:dyDescent="0.25">
      <c r="B3" t="s">
        <v>35</v>
      </c>
      <c r="C3" t="s">
        <v>4</v>
      </c>
      <c r="D3" t="s">
        <v>6</v>
      </c>
      <c r="E3" s="2">
        <v>5.91</v>
      </c>
      <c r="F3" s="2">
        <f>I3*$B$13</f>
        <v>7.53</v>
      </c>
      <c r="G3" s="2"/>
      <c r="I3" s="2">
        <v>0.3</v>
      </c>
    </row>
    <row r="4" spans="1:13" x14ac:dyDescent="0.25">
      <c r="B4" t="s">
        <v>27</v>
      </c>
      <c r="C4" t="s">
        <v>4</v>
      </c>
      <c r="D4" t="s">
        <v>6</v>
      </c>
      <c r="E4" s="2">
        <v>19.190000000000001</v>
      </c>
      <c r="F4" s="2">
        <f>I4*$B$13</f>
        <v>15.06</v>
      </c>
      <c r="G4" s="2"/>
      <c r="I4" s="2">
        <v>0.6</v>
      </c>
    </row>
    <row r="5" spans="1:13" x14ac:dyDescent="0.25">
      <c r="B5" t="s">
        <v>31</v>
      </c>
      <c r="C5" t="s">
        <v>4</v>
      </c>
      <c r="D5" t="s">
        <v>6</v>
      </c>
      <c r="E5" s="2">
        <v>76.78</v>
      </c>
      <c r="F5" s="2">
        <f>I5*$B$13</f>
        <v>47.69</v>
      </c>
      <c r="G5" s="2"/>
      <c r="I5" s="2">
        <v>1.9</v>
      </c>
    </row>
    <row r="6" spans="1:13" x14ac:dyDescent="0.25">
      <c r="B6" t="s">
        <v>1</v>
      </c>
      <c r="C6" t="s">
        <v>4</v>
      </c>
      <c r="D6" t="s">
        <v>6</v>
      </c>
      <c r="E6" s="2">
        <v>638.04999999999995</v>
      </c>
      <c r="F6" s="2">
        <f>I6*$B$13</f>
        <v>740.45</v>
      </c>
      <c r="G6" s="2"/>
      <c r="I6" s="2">
        <v>29.5</v>
      </c>
    </row>
    <row r="7" spans="1:13" x14ac:dyDescent="0.25">
      <c r="B7" t="s">
        <v>42</v>
      </c>
      <c r="C7" t="s">
        <v>4</v>
      </c>
      <c r="D7" t="s">
        <v>6</v>
      </c>
      <c r="E7" s="2">
        <v>56.11</v>
      </c>
      <c r="F7" s="2">
        <f>I7*$B$13</f>
        <v>75.300000000000011</v>
      </c>
      <c r="G7" s="2"/>
      <c r="I7" s="2">
        <v>3</v>
      </c>
    </row>
    <row r="8" spans="1:13" x14ac:dyDescent="0.25">
      <c r="D8" s="5" t="s">
        <v>25</v>
      </c>
      <c r="E8" s="6">
        <f>SUM(E3:E7)</f>
        <v>796.04</v>
      </c>
      <c r="F8" s="6">
        <f>SUM(F3:F7)</f>
        <v>886.03</v>
      </c>
      <c r="G8" s="6" t="s">
        <v>6</v>
      </c>
      <c r="I8" s="11">
        <f>SUM(I3:I7)</f>
        <v>35.299999999999997</v>
      </c>
    </row>
    <row r="9" spans="1:13" x14ac:dyDescent="0.25">
      <c r="E9" s="19">
        <f>E8/B12</f>
        <v>31.714741035856569</v>
      </c>
      <c r="F9" s="11">
        <f>F8/B13</f>
        <v>35.299999999999997</v>
      </c>
      <c r="G9" s="2" t="s">
        <v>17</v>
      </c>
    </row>
    <row r="11" spans="1:13" x14ac:dyDescent="0.25">
      <c r="B11" t="s">
        <v>7</v>
      </c>
      <c r="C11" t="s">
        <v>8</v>
      </c>
      <c r="D11" t="s">
        <v>9</v>
      </c>
      <c r="E11" s="1" t="s">
        <v>24</v>
      </c>
      <c r="F11" s="5" t="s">
        <v>26</v>
      </c>
      <c r="G11" t="s">
        <v>23</v>
      </c>
      <c r="H11" s="7" t="s">
        <v>22</v>
      </c>
      <c r="I11" t="s">
        <v>10</v>
      </c>
      <c r="J11" t="s">
        <v>14</v>
      </c>
      <c r="K11" t="s">
        <v>11</v>
      </c>
      <c r="L11" s="5" t="s">
        <v>12</v>
      </c>
      <c r="M11" t="s">
        <v>13</v>
      </c>
    </row>
    <row r="12" spans="1:13" x14ac:dyDescent="0.25">
      <c r="A12" t="s">
        <v>20</v>
      </c>
      <c r="B12">
        <v>25.1</v>
      </c>
      <c r="C12">
        <v>102.35</v>
      </c>
      <c r="D12" s="19">
        <v>31.71</v>
      </c>
      <c r="E12" s="2">
        <f t="shared" ref="E12" si="0">TINV(0.05,M12-1)*(I12/M12^0.5)</f>
        <v>9.6814926438748099</v>
      </c>
      <c r="F12" s="6">
        <f>B12*D12</f>
        <v>795.92100000000005</v>
      </c>
      <c r="G12" s="2">
        <f>TINV(0.05,M12-1)*(I12/M12^0.5)*B12</f>
        <v>243.00546536125773</v>
      </c>
      <c r="H12" s="8">
        <f t="shared" ref="H12:H13" si="1">G12/F12</f>
        <v>0.30531354916035353</v>
      </c>
      <c r="I12">
        <v>18.829999999999998</v>
      </c>
      <c r="J12">
        <v>354.69</v>
      </c>
      <c r="K12">
        <v>59.38</v>
      </c>
      <c r="L12" s="5">
        <v>28.81</v>
      </c>
      <c r="M12">
        <v>17</v>
      </c>
    </row>
    <row r="13" spans="1:13" x14ac:dyDescent="0.25">
      <c r="A13" t="s">
        <v>21</v>
      </c>
      <c r="B13">
        <v>25.1</v>
      </c>
      <c r="C13">
        <v>102.4</v>
      </c>
      <c r="D13" s="11">
        <v>30.4</v>
      </c>
      <c r="E13" s="2">
        <f>G13/B13</f>
        <v>8.5537848605577711</v>
      </c>
      <c r="F13" s="6">
        <f>B13*D13</f>
        <v>763.04</v>
      </c>
      <c r="G13" s="2">
        <f>762.1-547.4</f>
        <v>214.70000000000005</v>
      </c>
      <c r="H13" s="8">
        <f t="shared" si="1"/>
        <v>0.28137450199203196</v>
      </c>
      <c r="I13" s="3">
        <f>M13^0.5 * (E13/TINV(0.05,M13-1))</f>
        <v>16.636666973682569</v>
      </c>
      <c r="J13" s="3">
        <f>I13^2</f>
        <v>276.77868799322033</v>
      </c>
      <c r="K13" s="3">
        <f>I13/D13*100</f>
        <v>54.725878202903189</v>
      </c>
      <c r="L13" s="9">
        <f>((TINV(0.05,M13)*I13/M13^0.5))/D13*100</f>
        <v>28.003529578701308</v>
      </c>
      <c r="M13">
        <v>17</v>
      </c>
    </row>
    <row r="14" spans="1:13" x14ac:dyDescent="0.25">
      <c r="F14" s="4">
        <f>(F13-F12)/F12</f>
        <v>-4.1311888994008304E-2</v>
      </c>
    </row>
    <row r="15" spans="1:13" x14ac:dyDescent="0.25">
      <c r="A15" t="s">
        <v>37</v>
      </c>
      <c r="B15" t="s">
        <v>38</v>
      </c>
    </row>
    <row r="16" spans="1:13" x14ac:dyDescent="0.25">
      <c r="A16" t="s">
        <v>39</v>
      </c>
      <c r="B16" t="s">
        <v>63</v>
      </c>
    </row>
    <row r="18" spans="1:2" x14ac:dyDescent="0.25">
      <c r="A18" t="s">
        <v>54</v>
      </c>
    </row>
    <row r="19" spans="1:2" x14ac:dyDescent="0.25">
      <c r="A19" s="13" t="s">
        <v>55</v>
      </c>
      <c r="B19" s="14" t="s">
        <v>56</v>
      </c>
    </row>
    <row r="20" spans="1:2" x14ac:dyDescent="0.25">
      <c r="A20" t="s">
        <v>35</v>
      </c>
      <c r="B20" s="16">
        <v>3</v>
      </c>
    </row>
    <row r="21" spans="1:2" x14ac:dyDescent="0.25">
      <c r="A21" t="s">
        <v>27</v>
      </c>
      <c r="B21" s="15">
        <v>5.5</v>
      </c>
    </row>
    <row r="22" spans="1:2" x14ac:dyDescent="0.25">
      <c r="A22" t="s">
        <v>31</v>
      </c>
      <c r="B22" s="15">
        <v>4.2</v>
      </c>
    </row>
    <row r="23" spans="1:2" x14ac:dyDescent="0.25">
      <c r="A23" t="s">
        <v>1</v>
      </c>
      <c r="B23" s="15">
        <v>5.7</v>
      </c>
    </row>
    <row r="24" spans="1:2" x14ac:dyDescent="0.25">
      <c r="A24" s="13" t="s">
        <v>42</v>
      </c>
      <c r="B24" s="14">
        <v>3.2</v>
      </c>
    </row>
    <row r="25" spans="1:2" x14ac:dyDescent="0.25">
      <c r="A25" t="s">
        <v>58</v>
      </c>
      <c r="B25" s="15">
        <v>5.3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6A7998-9A17-447B-B24B-F7BD60B6760B}">
  <dimension ref="A1:M26"/>
  <sheetViews>
    <sheetView zoomScale="170" zoomScaleNormal="170" workbookViewId="0">
      <selection activeCell="I20" sqref="I20"/>
    </sheetView>
  </sheetViews>
  <sheetFormatPr defaultRowHeight="15" x14ac:dyDescent="0.25"/>
  <cols>
    <col min="1" max="1" width="11" customWidth="1"/>
    <col min="2" max="2" width="11.42578125" customWidth="1"/>
    <col min="5" max="5" width="10.42578125" customWidth="1"/>
  </cols>
  <sheetData>
    <row r="1" spans="1:13" x14ac:dyDescent="0.25">
      <c r="B1" t="s">
        <v>53</v>
      </c>
    </row>
    <row r="2" spans="1:13" x14ac:dyDescent="0.25">
      <c r="E2" s="1" t="s">
        <v>34</v>
      </c>
      <c r="F2" t="s">
        <v>33</v>
      </c>
      <c r="H2" t="s">
        <v>16</v>
      </c>
      <c r="I2" t="s">
        <v>17</v>
      </c>
      <c r="K2" s="3"/>
    </row>
    <row r="3" spans="1:13" x14ac:dyDescent="0.25">
      <c r="B3" t="s">
        <v>35</v>
      </c>
      <c r="C3" t="s">
        <v>3</v>
      </c>
      <c r="D3" t="s">
        <v>5</v>
      </c>
      <c r="E3" s="2">
        <v>81.8</v>
      </c>
      <c r="F3" s="2">
        <f>H3*$B$15</f>
        <v>84</v>
      </c>
      <c r="G3" s="2" t="s">
        <v>5</v>
      </c>
      <c r="H3">
        <v>2.5</v>
      </c>
    </row>
    <row r="4" spans="1:13" x14ac:dyDescent="0.25">
      <c r="B4" t="s">
        <v>27</v>
      </c>
      <c r="C4" t="s">
        <v>3</v>
      </c>
      <c r="D4" t="s">
        <v>5</v>
      </c>
      <c r="E4" s="2">
        <v>31.02</v>
      </c>
      <c r="F4" s="2">
        <f>H4*$B$15</f>
        <v>30.240000000000002</v>
      </c>
      <c r="G4" s="2"/>
      <c r="H4">
        <v>0.9</v>
      </c>
    </row>
    <row r="5" spans="1:13" x14ac:dyDescent="0.25">
      <c r="B5" t="s">
        <v>2</v>
      </c>
      <c r="C5" t="s">
        <v>3</v>
      </c>
      <c r="D5" t="s">
        <v>5</v>
      </c>
      <c r="E5" s="2">
        <v>1.89</v>
      </c>
      <c r="F5" s="2">
        <f>H5*$B$15</f>
        <v>3.3600000000000003</v>
      </c>
      <c r="G5" s="2"/>
      <c r="H5">
        <v>0.1</v>
      </c>
    </row>
    <row r="6" spans="1:13" x14ac:dyDescent="0.25">
      <c r="D6" s="5" t="s">
        <v>25</v>
      </c>
      <c r="E6" s="6">
        <f>SUM(E3:E5)</f>
        <v>114.71</v>
      </c>
      <c r="F6" s="6">
        <f>SUM(F3:F5)</f>
        <v>117.60000000000001</v>
      </c>
      <c r="G6" s="6" t="s">
        <v>5</v>
      </c>
    </row>
    <row r="7" spans="1:13" x14ac:dyDescent="0.25">
      <c r="B7" t="s">
        <v>35</v>
      </c>
      <c r="C7" t="s">
        <v>4</v>
      </c>
      <c r="D7" t="s">
        <v>6</v>
      </c>
      <c r="E7" s="2">
        <v>268.8</v>
      </c>
      <c r="F7" s="2">
        <f>I7*$B$15</f>
        <v>213.2111392405063</v>
      </c>
      <c r="G7" s="2" t="s">
        <v>6</v>
      </c>
      <c r="I7" s="2">
        <f>9.6 - (H3*185)/79 + 2.6</f>
        <v>6.3455696202531637</v>
      </c>
    </row>
    <row r="8" spans="1:13" x14ac:dyDescent="0.25">
      <c r="B8" t="s">
        <v>27</v>
      </c>
      <c r="C8" t="s">
        <v>4</v>
      </c>
      <c r="D8" t="s">
        <v>6</v>
      </c>
      <c r="E8" s="2">
        <v>97.75</v>
      </c>
      <c r="F8" s="2">
        <f>I8*$B$15</f>
        <v>70.304810126582282</v>
      </c>
      <c r="G8" s="2" t="s">
        <v>6</v>
      </c>
      <c r="I8" s="2">
        <f>3.1 - (H4*185)/79 + 1.1</f>
        <v>2.0924050632911393</v>
      </c>
    </row>
    <row r="9" spans="1:13" x14ac:dyDescent="0.25">
      <c r="B9" t="s">
        <v>2</v>
      </c>
      <c r="C9" t="s">
        <v>4</v>
      </c>
      <c r="D9" t="s">
        <v>6</v>
      </c>
      <c r="E9" s="2">
        <v>10.69</v>
      </c>
      <c r="F9" s="2">
        <f>I9*$B$15</f>
        <v>8.9316455696202546</v>
      </c>
      <c r="G9" s="2"/>
      <c r="I9" s="2">
        <f>0.4 - (H5*185)/79 + 0.1</f>
        <v>0.26582278481012661</v>
      </c>
    </row>
    <row r="10" spans="1:13" x14ac:dyDescent="0.25">
      <c r="D10" s="5" t="s">
        <v>25</v>
      </c>
      <c r="E10" s="6">
        <f>SUM(E7:E9)</f>
        <v>377.24</v>
      </c>
      <c r="F10" s="6">
        <f>SUM(F7:F9)</f>
        <v>292.44759493670881</v>
      </c>
      <c r="G10" s="6" t="s">
        <v>6</v>
      </c>
      <c r="I10" s="11">
        <f>SUM(I7:I9) + (SUM(H3:H5) * 185)/79</f>
        <v>16.899999999999999</v>
      </c>
    </row>
    <row r="11" spans="1:13" x14ac:dyDescent="0.25">
      <c r="E11" s="19">
        <f>(E6*2+E10)/$B$14</f>
        <v>18.05535714285714</v>
      </c>
      <c r="F11" s="11">
        <f>(F6*185/79+F10)/B15</f>
        <v>16.899999999999999</v>
      </c>
      <c r="G11" s="2" t="s">
        <v>17</v>
      </c>
    </row>
    <row r="13" spans="1:13" x14ac:dyDescent="0.25">
      <c r="B13" t="s">
        <v>7</v>
      </c>
      <c r="C13" t="s">
        <v>8</v>
      </c>
      <c r="D13" t="s">
        <v>9</v>
      </c>
      <c r="E13" s="1" t="s">
        <v>24</v>
      </c>
      <c r="F13" s="5" t="s">
        <v>26</v>
      </c>
      <c r="G13" t="s">
        <v>23</v>
      </c>
      <c r="H13" s="7" t="s">
        <v>22</v>
      </c>
      <c r="I13" t="s">
        <v>10</v>
      </c>
      <c r="J13" t="s">
        <v>14</v>
      </c>
      <c r="K13" t="s">
        <v>11</v>
      </c>
      <c r="L13" s="5" t="s">
        <v>12</v>
      </c>
      <c r="M13" t="s">
        <v>13</v>
      </c>
    </row>
    <row r="14" spans="1:13" x14ac:dyDescent="0.25">
      <c r="A14" t="s">
        <v>20</v>
      </c>
      <c r="B14">
        <v>33.6</v>
      </c>
      <c r="C14">
        <v>42.73</v>
      </c>
      <c r="D14" s="19">
        <v>17.5</v>
      </c>
      <c r="E14" s="2">
        <f>TINV(0.05,M14-1)*(I14/M14^0.5)</f>
        <v>2.1104657684495756</v>
      </c>
      <c r="F14" s="6">
        <f>B14*D14</f>
        <v>588</v>
      </c>
      <c r="G14" s="2">
        <f>TINV(0.05,M14-1)*(I14/M14^0.5)*B14</f>
        <v>70.911649819905747</v>
      </c>
      <c r="H14" s="8">
        <f>G14/F14</f>
        <v>0.12059804391140433</v>
      </c>
      <c r="I14">
        <v>4.76</v>
      </c>
      <c r="J14">
        <v>22.67</v>
      </c>
      <c r="K14">
        <v>27.21</v>
      </c>
      <c r="L14" s="9">
        <v>11.6</v>
      </c>
      <c r="M14">
        <v>22</v>
      </c>
    </row>
    <row r="15" spans="1:13" x14ac:dyDescent="0.25">
      <c r="A15" t="s">
        <v>21</v>
      </c>
      <c r="B15">
        <v>33.6</v>
      </c>
      <c r="C15">
        <v>42.7</v>
      </c>
      <c r="D15" s="11">
        <v>17.3</v>
      </c>
      <c r="E15" s="2">
        <f>G15/B15</f>
        <v>2.2291666666666661</v>
      </c>
      <c r="F15" s="6">
        <f>B15*D15</f>
        <v>581.28000000000009</v>
      </c>
      <c r="G15" s="2">
        <f>581.8-506.9</f>
        <v>74.899999999999977</v>
      </c>
      <c r="H15" s="8">
        <f t="shared" ref="H15" si="0">G15/F15</f>
        <v>0.12885356454720612</v>
      </c>
      <c r="I15" s="3">
        <f>M15^0.5 * (E15/TINV(0.05,M15-1))</f>
        <v>5.0277211277055827</v>
      </c>
      <c r="J15" s="3">
        <f>I15^2</f>
        <v>25.277979737977095</v>
      </c>
      <c r="K15" s="3">
        <f>I15/D15*100</f>
        <v>29.061971836448453</v>
      </c>
      <c r="L15" s="9">
        <f>((TINV(0.05,M15)*I15/M15^0.5))/D15*100</f>
        <v>12.849786410845725</v>
      </c>
      <c r="M15">
        <v>22</v>
      </c>
    </row>
    <row r="16" spans="1:13" x14ac:dyDescent="0.25">
      <c r="F16" s="4">
        <f>(F15-F14)/F14</f>
        <v>-1.1428571428571281E-2</v>
      </c>
    </row>
    <row r="18" spans="1:3" x14ac:dyDescent="0.25">
      <c r="A18" t="s">
        <v>37</v>
      </c>
      <c r="B18" t="s">
        <v>38</v>
      </c>
    </row>
    <row r="19" spans="1:3" x14ac:dyDescent="0.25">
      <c r="A19" t="s">
        <v>39</v>
      </c>
      <c r="B19" t="s">
        <v>62</v>
      </c>
    </row>
    <row r="21" spans="1:3" x14ac:dyDescent="0.25">
      <c r="A21" t="s">
        <v>54</v>
      </c>
    </row>
    <row r="22" spans="1:3" x14ac:dyDescent="0.25">
      <c r="A22" s="13" t="s">
        <v>55</v>
      </c>
      <c r="B22" s="17" t="s">
        <v>56</v>
      </c>
      <c r="C22" s="14" t="s">
        <v>57</v>
      </c>
    </row>
    <row r="23" spans="1:3" x14ac:dyDescent="0.25">
      <c r="A23" t="s">
        <v>35</v>
      </c>
      <c r="B23" s="18">
        <v>4.9000000000000004</v>
      </c>
      <c r="C23" s="15">
        <v>3.2</v>
      </c>
    </row>
    <row r="24" spans="1:3" x14ac:dyDescent="0.25">
      <c r="A24" t="s">
        <v>27</v>
      </c>
      <c r="B24" s="18">
        <v>5.3</v>
      </c>
      <c r="C24" s="15">
        <v>3.8</v>
      </c>
    </row>
    <row r="25" spans="1:3" x14ac:dyDescent="0.25">
      <c r="A25" s="13" t="s">
        <v>2</v>
      </c>
      <c r="B25" s="17">
        <v>4.3</v>
      </c>
      <c r="C25" s="14">
        <v>1.5</v>
      </c>
    </row>
    <row r="26" spans="1:3" x14ac:dyDescent="0.25">
      <c r="A26" t="s">
        <v>58</v>
      </c>
      <c r="B26" s="18">
        <v>4.9000000000000004</v>
      </c>
      <c r="C26" s="15">
        <v>3.3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KEY</vt:lpstr>
      <vt:lpstr>JP LP</vt:lpstr>
      <vt:lpstr>RP LP</vt:lpstr>
      <vt:lpstr>Oak LP</vt:lpstr>
      <vt:lpstr>NHW LP</vt:lpstr>
      <vt:lpstr>JP UP</vt:lpstr>
      <vt:lpstr>RP UP</vt:lpstr>
      <vt:lpstr>Aspen UP</vt:lpstr>
      <vt:lpstr>NHW 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Heym, Douglas (DNR)</dc:creator>
  <cp:lastModifiedBy>Heym, Douglas (DNR)</cp:lastModifiedBy>
  <cp:lastPrinted>2023-03-22T16:58:28Z</cp:lastPrinted>
  <dcterms:created xsi:type="dcterms:W3CDTF">2020-08-31T20:52:06Z</dcterms:created>
  <dcterms:modified xsi:type="dcterms:W3CDTF">2023-06-22T13:53:30Z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2023-03-22T16:58:28Z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cd47f36a-a812-489a-b74d-6135e7849b33</vt:lpwstr>
  </property>
  <property fmtid="{D5CDD505-2E9C-101B-9397-08002B2CF9AE}" pid="8" name="MSIP_Label_3a2fed65-62e7-46ea-af74-187e0c17143a_ContentBits">
    <vt:lpwstr>0</vt:lpwstr>
  </property>
</Properties>
</file>